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295" documentId="13_ncr:1_{18D4457A-7C95-45D0-BCE7-4FD8081E997C}" xr6:coauthVersionLast="47" xr6:coauthVersionMax="47" xr10:uidLastSave="{18384BB4-ED0F-4605-A501-E7857FA8FB95}"/>
  <bookViews>
    <workbookView xWindow="-108" yWindow="-108" windowWidth="23256" windowHeight="12456" xr2:uid="{2BCB476E-7365-4BFE-87B6-D61FFB256E4B}"/>
  </bookViews>
  <sheets>
    <sheet name="Detalhes" sheetId="1" r:id="rId1"/>
    <sheet name="Previsões de vendas" sheetId="2" r:id="rId2"/>
  </sheets>
  <definedNames>
    <definedName name="elcort">#REF!</definedName>
    <definedName name="ELCORTE">#REF!</definedName>
    <definedName name="Slicer_Previsión__cerrar">#N/A</definedName>
  </definedNames>
  <calcPr calcId="191029"/>
  <pivotCaches>
    <pivotCache cacheId="0" r:id="rId3"/>
  </pivotCaches>
  <extLst>
    <ext xmlns:x14="http://schemas.microsoft.com/office/spreadsheetml/2009/9/main" uri="{BBE1A952-AA13-448e-AADC-164F8A28A991}">
      <x14:slicerCaches>
        <x14:slicerCache r:id="rId4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C5" i="2"/>
  <c r="C6" i="2"/>
  <c r="C7" i="2"/>
  <c r="C8" i="2"/>
  <c r="C9" i="2"/>
  <c r="C10" i="2"/>
  <c r="C11" i="2"/>
  <c r="C12" i="2"/>
  <c r="C13" i="2"/>
  <c r="C14" i="2"/>
  <c r="C15" i="2"/>
  <c r="C16" i="2"/>
  <c r="C17" i="2" l="1"/>
</calcChain>
</file>

<file path=xl/sharedStrings.xml><?xml version="1.0" encoding="utf-8"?>
<sst xmlns="http://schemas.openxmlformats.org/spreadsheetml/2006/main" count="142" uniqueCount="90">
  <si>
    <t>Adatum Corporation</t>
  </si>
  <si>
    <t>Rowan Murphy</t>
  </si>
  <si>
    <t>Adventure Works</t>
  </si>
  <si>
    <t>Miho Kojima</t>
  </si>
  <si>
    <t>Cora Thomas</t>
  </si>
  <si>
    <t>Ellis Turner</t>
  </si>
  <si>
    <t>Blue Yonder Airlines</t>
  </si>
  <si>
    <t>Contoso, Ltd.</t>
  </si>
  <si>
    <t>Contoso Pharmaceuticals</t>
  </si>
  <si>
    <t>Fabrikam, Inc.</t>
  </si>
  <si>
    <t>APSA: Pacífico</t>
  </si>
  <si>
    <t>Litware, Inc.</t>
  </si>
  <si>
    <t>Lucerne Publishing</t>
  </si>
  <si>
    <t>Northwind Traders</t>
  </si>
  <si>
    <t>Proseware, Inc.</t>
  </si>
  <si>
    <t>Vigneto Coho</t>
  </si>
  <si>
    <t>Mistura</t>
  </si>
  <si>
    <t>Agosto</t>
  </si>
  <si>
    <t>Previsões de vendas</t>
  </si>
  <si>
    <t>Previsão 
Fechar janela</t>
  </si>
  <si>
    <t>Nome da Oportunidade</t>
  </si>
  <si>
    <t>Casa de Esqui Alpino</t>
  </si>
  <si>
    <t>Museu de Ciência Baldwin</t>
  </si>
  <si>
    <t>Energia e luz da cidade</t>
  </si>
  <si>
    <t>Adega Coho</t>
  </si>
  <si>
    <t>Mensageiro Consolidado</t>
  </si>
  <si>
    <t>Quarto café</t>
  </si>
  <si>
    <t>Instituto de Design Gráfico</t>
  </si>
  <si>
    <t>Seguro Enorme</t>
  </si>
  <si>
    <t>A jornada de Margie</t>
  </si>
  <si>
    <t>Escola de Belas-Artes</t>
  </si>
  <si>
    <t>Vídeo de Southridge</t>
  </si>
  <si>
    <t>Brinquedos Tailspin</t>
  </si>
  <si>
    <t>Vendas 
Agente</t>
  </si>
  <si>
    <t>Já fiz um resumo</t>
  </si>
  <si>
    <t>Vendas 
Região</t>
  </si>
  <si>
    <t>Estados Unidos: Nordeste</t>
  </si>
  <si>
    <t>Estados Unidos: Sudeste</t>
  </si>
  <si>
    <t>Estados Unidos: North Central</t>
  </si>
  <si>
    <t>Estados Unidos: South Central</t>
  </si>
  <si>
    <t>Estados Unidos: Noroeste</t>
  </si>
  <si>
    <t>Estados Unidos: Sudoeste</t>
  </si>
  <si>
    <t>Canada: Este</t>
  </si>
  <si>
    <t>Canadá: Oeste</t>
  </si>
  <si>
    <t>EMEA: França</t>
  </si>
  <si>
    <t>EMEA: Alemanha</t>
  </si>
  <si>
    <t>EMEA: Itália</t>
  </si>
  <si>
    <t>EMEA: Outros</t>
  </si>
  <si>
    <t>APSA: Ásia</t>
  </si>
  <si>
    <t>APSA: México</t>
  </si>
  <si>
    <t>APSA: Austrália</t>
  </si>
  <si>
    <t>APSA: Outros</t>
  </si>
  <si>
    <t>Canadá: Este</t>
  </si>
  <si>
    <t>EMEA: Reino Unido</t>
  </si>
  <si>
    <t>Vendas 
Categoria</t>
  </si>
  <si>
    <t>Consultoria</t>
  </si>
  <si>
    <t>Produtos</t>
  </si>
  <si>
    <t>Aprendizagem</t>
  </si>
  <si>
    <t>Serviços Profissionais</t>
  </si>
  <si>
    <t>Enxuto</t>
  </si>
  <si>
    <t>Serviços</t>
  </si>
  <si>
    <t>Suporte técnico</t>
  </si>
  <si>
    <t>Vendas 
Fase</t>
  </si>
  <si>
    <t>Aprovação formal</t>
  </si>
  <si>
    <t>Oportunidades</t>
  </si>
  <si>
    <t>Necessidade identificada</t>
  </si>
  <si>
    <t>Patrocínio</t>
  </si>
  <si>
    <t>Demonstrações financeiras validadas</t>
  </si>
  <si>
    <t>Análise de necessidades</t>
  </si>
  <si>
    <t>Solução proposta</t>
  </si>
  <si>
    <t>Proposta escrita</t>
  </si>
  <si>
    <t>Aprovação verbal</t>
  </si>
  <si>
    <t>Quantidade esperada</t>
  </si>
  <si>
    <t>Probabilidade de venda</t>
  </si>
  <si>
    <t>Previsão ponderada</t>
  </si>
  <si>
    <t>Mês</t>
  </si>
  <si>
    <t>Mensal 
Previsão</t>
  </si>
  <si>
    <t>Acumulado</t>
  </si>
  <si>
    <t>Janeiro</t>
  </si>
  <si>
    <t>Fevereiro</t>
  </si>
  <si>
    <t>Março</t>
  </si>
  <si>
    <t>Abril</t>
  </si>
  <si>
    <t>Maio</t>
  </si>
  <si>
    <t>Junho</t>
  </si>
  <si>
    <t>Julho</t>
  </si>
  <si>
    <t>Setembro</t>
  </si>
  <si>
    <t>Outubro</t>
  </si>
  <si>
    <t>Novembro</t>
  </si>
  <si>
    <t>Dezembro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</si>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</sst>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_);\(&quot;$&quot;#,##0.00\)"/>
    <numFmt numFmtId="165" formatCode="[$-409]mmmm\-yy;@"/>
    <numFmt numFmtId="166" formatCode="[$-816]d\ &quot;de&quot;\ mmmm\ &quot;de&quot;\ yyyy;@"/>
    <numFmt numFmtId="167" formatCode="#,##0.00\ [$€-816]"/>
    <numFmt numFmtId="168" formatCode="yyyy\-mm\-dd;@"/>
  </numFmts>
  <fonts count="6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48"/>
      <color theme="0"/>
      <name val="Algerian"/>
      <family val="5"/>
    </font>
    <font>
      <b/>
      <sz val="10"/>
      <color theme="1"/>
      <name val="Arial"/>
      <family val="2"/>
    </font>
    <font>
      <sz val="26"/>
      <color theme="0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 applyAlignment="1">
      <alignment horizontal="left" vertical="center"/>
    </xf>
    <xf numFmtId="9" fontId="0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9" fontId="0" fillId="0" borderId="7" xfId="1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6" fontId="0" fillId="0" borderId="5" xfId="0" applyNumberFormat="1" applyBorder="1" applyAlignment="1">
      <alignment horizontal="left" vertical="center"/>
    </xf>
    <xf numFmtId="166" fontId="0" fillId="0" borderId="6" xfId="0" applyNumberFormat="1" applyBorder="1" applyAlignment="1">
      <alignment horizontal="left" vertical="center"/>
    </xf>
    <xf numFmtId="167" fontId="0" fillId="0" borderId="1" xfId="0" applyNumberFormat="1" applyBorder="1" applyAlignment="1">
      <alignment horizontal="left" vertical="center"/>
    </xf>
    <xf numFmtId="167" fontId="0" fillId="0" borderId="7" xfId="0" applyNumberFormat="1" applyBorder="1" applyAlignment="1">
      <alignment horizontal="left" vertical="center"/>
    </xf>
    <xf numFmtId="167" fontId="4" fillId="2" borderId="1" xfId="0" applyNumberFormat="1" applyFont="1" applyFill="1" applyBorder="1" applyAlignment="1">
      <alignment horizontal="left" vertical="center"/>
    </xf>
    <xf numFmtId="168" fontId="0" fillId="0" borderId="1" xfId="0" applyNumberForma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37">
    <dxf>
      <numFmt numFmtId="168" formatCode="yyyy\-mm\-dd;@"/>
    </dxf>
    <dxf>
      <numFmt numFmtId="167" formatCode="#,##0.00\ [$€-816]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 patternType="solid">
          <bgColor theme="3" tint="0.39997558519241921"/>
        </patternFill>
      </fill>
    </dxf>
    <dxf>
      <fill>
        <patternFill patternType="solid">
          <bgColor theme="3" tint="0.3999755851924192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[$-409]mmm\-yy;@"/>
    </dxf>
    <dxf>
      <numFmt numFmtId="167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7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[$-816]d\ &quot;de&quot;\ mmmm\ &quot;de&quot;\ yyyy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[Previsão de vendas.xlsx]Previsões de vendas!PivotTable1</c:name>
    <c:fmtId val="0"/>
  </c:pivotSource>
  <c:chart>
    <c:autoTitleDeleted val="1"/>
    <c:pivotFmts>
      <c:pivotFmt>
        <c:idx val="0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0"/>
              <c:y val="-5.393743257820927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5710113073651581E-17"/>
              <c:y val="-2.1574973031283712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2">
                  <a:shade val="51000"/>
                  <a:satMod val="130000"/>
                </a:schemeClr>
              </a:gs>
              <a:gs pos="80000">
                <a:schemeClr val="accent2">
                  <a:shade val="93000"/>
                  <a:satMod val="130000"/>
                </a:schemeClr>
              </a:gs>
              <a:gs pos="100000">
                <a:schemeClr val="accent2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4336917562724014E-2"/>
              <c:y val="3.5958288385472192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'Previsões de vendas'!$B$4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B6BD-4B9B-B631-DE7ADD988DD0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B6BD-4B9B-B631-DE7ADD988DD0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4-B6BD-4B9B-B631-DE7ADD988DD0}"/>
              </c:ext>
            </c:extLst>
          </c:dPt>
          <c:dLbls>
            <c:dLbl>
              <c:idx val="1"/>
              <c:layout>
                <c:manualLayout>
                  <c:x val="0"/>
                  <c:y val="-5.39374325782092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6BD-4B9B-B631-DE7ADD988DD0}"/>
                </c:ext>
              </c:extLst>
            </c:dLbl>
            <c:dLbl>
              <c:idx val="4"/>
              <c:layout>
                <c:manualLayout>
                  <c:x val="-6.5710113073651581E-17"/>
                  <c:y val="-2.157497303128371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6BD-4B9B-B631-DE7ADD988DD0}"/>
                </c:ext>
              </c:extLst>
            </c:dLbl>
            <c:dLbl>
              <c:idx val="5"/>
              <c:layout>
                <c:manualLayout>
                  <c:x val="1.4336917562724014E-2"/>
                  <c:y val="3.595828838547219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6BD-4B9B-B631-DE7ADD988D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'Previsões de vendas'!$A$5:$A$17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'Previsões de vendas'!$B$5:$B$17</c:f>
              <c:numCache>
                <c:formatCode>#,##0.00\ [$€-816]</c:formatCode>
                <c:ptCount val="12"/>
                <c:pt idx="0">
                  <c:v>151600</c:v>
                </c:pt>
                <c:pt idx="1">
                  <c:v>160320</c:v>
                </c:pt>
                <c:pt idx="2">
                  <c:v>243500</c:v>
                </c:pt>
                <c:pt idx="3">
                  <c:v>113450</c:v>
                </c:pt>
                <c:pt idx="4">
                  <c:v>143200</c:v>
                </c:pt>
                <c:pt idx="5">
                  <c:v>134000</c:v>
                </c:pt>
                <c:pt idx="6">
                  <c:v>89400</c:v>
                </c:pt>
                <c:pt idx="7">
                  <c:v>184900</c:v>
                </c:pt>
                <c:pt idx="8">
                  <c:v>100800</c:v>
                </c:pt>
                <c:pt idx="9">
                  <c:v>241850</c:v>
                </c:pt>
                <c:pt idx="10">
                  <c:v>142425</c:v>
                </c:pt>
                <c:pt idx="11">
                  <c:v>243400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BD-4B9B-B631-DE7ADD988DD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683036431"/>
        <c:axId val="1683046031"/>
      </c:barChart>
      <c:catAx>
        <c:axId val="168303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3046031"/>
        <c:crosses val="autoZero"/>
        <c:auto val="1"/>
        <c:lblAlgn val="ctr"/>
        <c:lblOffset val="100"/>
        <c:noMultiLvlLbl val="0"/>
      </c:catAx>
      <c:valAx>
        <c:axId val="1683046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303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91440</xdr:colOff>
      <xdr:row>0</xdr:row>
      <xdr:rowOff>15240</xdr:rowOff>
    </xdr:from>
    <xdr:to>
      <xdr:col>12</xdr:col>
      <xdr:colOff>99060</xdr:colOff>
      <xdr:row>5</xdr:row>
      <xdr:rowOff>266699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evisión &#10;cerrar">
              <a:extLst>
                <a:ext uri="{FF2B5EF4-FFF2-40B4-BE49-F238E27FC236}">
                  <a16:creationId xmlns:a16="http://schemas.microsoft.com/office/drawing/2014/main" id="{7B3B61A7-E4DE-F0C4-E60A-33D4622B187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evisión &#10;cerra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442460" y="15240"/>
              <a:ext cx="7277100" cy="130301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3</xdr:col>
      <xdr:colOff>182880</xdr:colOff>
      <xdr:row>6</xdr:row>
      <xdr:rowOff>45720</xdr:rowOff>
    </xdr:from>
    <xdr:to>
      <xdr:col>12</xdr:col>
      <xdr:colOff>0</xdr:colOff>
      <xdr:row>16</xdr:row>
      <xdr:rowOff>198120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2ADED9-3D3B-8E56-44BE-DDD6712BB1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0.397168055555" createdVersion="8" refreshedVersion="8" minRefreshableVersion="3" recordCount="23" xr:uid="{A8834196-7180-46AE-B913-0512027294BD}">
  <cacheSource type="worksheet">
    <worksheetSource name="Table1"/>
  </cacheSource>
  <cacheFields count="11">
    <cacheField name="Previsión _x000a_cerrar" numFmtId="165">
      <sharedItems containsSemiMixedTypes="0" containsNonDate="0" containsDate="1" containsString="0" minDate="2026-01-01T00:00:00" maxDate="2026-12-02T00:00:00" count="12">
        <d v="2026-01-01T00:00:00"/>
        <d v="2026-02-01T00:00:00"/>
        <d v="2026-03-01T00:00:00"/>
        <d v="2026-04-01T00:00:00"/>
        <d v="2026-05-01T00:00:00"/>
        <d v="2026-06-01T00:00:00"/>
        <d v="2026-07-01T00:00:00"/>
        <d v="2026-08-01T00:00:00"/>
        <d v="2026-10-01T00:00:00"/>
        <d v="2026-11-01T00:00:00"/>
        <d v="2026-12-01T00:00:00"/>
        <d v="2026-09-01T00:00:00"/>
      </sharedItems>
      <fieldGroup par="10"/>
    </cacheField>
    <cacheField name="Nombre de la oportunidad" numFmtId="0">
      <sharedItems/>
    </cacheField>
    <cacheField name="Ventas _x000a_agente" numFmtId="0">
      <sharedItems/>
    </cacheField>
    <cacheField name="Ventas _x000a_región" numFmtId="0">
      <sharedItems/>
    </cacheField>
    <cacheField name="Ventas _x000a_categoría" numFmtId="0">
      <sharedItems/>
    </cacheField>
    <cacheField name="Ventas _x000a_fase" numFmtId="0">
      <sharedItems/>
    </cacheField>
    <cacheField name="Cantidad prevista" numFmtId="164">
      <sharedItems containsSemiMixedTypes="0" containsString="0" containsNumber="1" containsInteger="1" minValue="140000" maxValue="180000"/>
    </cacheField>
    <cacheField name="Probabilidad de venta" numFmtId="9">
      <sharedItems containsSemiMixedTypes="0" containsString="0" containsNumber="1" minValue="0.1" maxValue="1"/>
    </cacheField>
    <cacheField name="Previsión ponderada" numFmtId="164">
      <sharedItems containsSemiMixedTypes="0" containsString="0" containsNumber="1" containsInteger="1" minValue="14520" maxValue="157000"/>
    </cacheField>
    <cacheField name="Days (Previsión _x000a_cerrar)" numFmtId="0" databaseField="0">
      <fieldGroup base="0">
        <rangePr groupBy="days" startDate="2026-01-01T00:00:00" endDate="2026-12-02T00:00:00"/>
        <groupItems count="368">
          <s v="&lt;1/1/2026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12/2/2026"/>
        </groupItems>
      </fieldGroup>
    </cacheField>
    <cacheField name="Months (Previsión _x000a_cerrar)" numFmtId="0" databaseField="0">
      <fieldGroup base="0">
        <rangePr groupBy="months" startDate="2026-01-01T00:00:00" endDate="2026-12-02T00:00:00"/>
        <groupItems count="14">
          <s v="&lt;1/1/2026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2/2/2026"/>
        </groupItems>
      </fieldGroup>
    </cacheField>
  </cacheFields>
  <extLst>
    <ext xmlns:x14="http://schemas.microsoft.com/office/spreadsheetml/2009/9/main" uri="{725AE2AE-9491-48be-B2B4-4EB974FC3084}">
      <x14:pivotCacheDefinition pivotCacheId="206098004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s v="Adatum Corporation"/>
    <s v="Rowan Murphy"/>
    <s v="Estados Unidos: nordeste"/>
    <s v="Consultoría"/>
    <s v="Aprobación formal"/>
    <n v="150000"/>
    <n v="0.9"/>
    <n v="135000"/>
  </r>
  <r>
    <x v="1"/>
    <s v="Adventure Works"/>
    <s v="Miho Kojima"/>
    <s v="Estados Unidos: sudeste"/>
    <s v="Productos"/>
    <s v="Oportunidad"/>
    <n v="145200"/>
    <n v="0.1"/>
    <n v="14520"/>
  </r>
  <r>
    <x v="2"/>
    <s v="Alpine Ski House"/>
    <s v="Cora Thomas"/>
    <s v="Estados Unidos: norte central"/>
    <s v="Aprendizaje"/>
    <s v="Necesidad identificada"/>
    <n v="162500"/>
    <n v="0.2"/>
    <n v="32500"/>
  </r>
  <r>
    <x v="3"/>
    <s v="Museo de ciencia Baldwin"/>
    <s v="Ellis Turner"/>
    <s v="Estados Unidos: sur central"/>
    <s v="Mezcla"/>
    <s v="Patrocinio"/>
    <n v="147500"/>
    <n v="0.3"/>
    <n v="44250"/>
  </r>
  <r>
    <x v="4"/>
    <s v="Blue Yonder Airlines"/>
    <s v="Suma Kini"/>
    <s v="Estados Unidos: noroeste"/>
    <s v="Servicios profesionales"/>
    <s v="Presupuesto validado"/>
    <n v="148000"/>
    <n v="0.4"/>
    <n v="59200"/>
  </r>
  <r>
    <x v="5"/>
    <s v="City Power &amp; Light"/>
    <s v="Rowan Murphy"/>
    <s v="Estados Unidos: sudoeste"/>
    <s v="Apoyo"/>
    <s v="Análisis de necesidades"/>
    <n v="175000"/>
    <n v="0.5"/>
    <n v="87500"/>
  </r>
  <r>
    <x v="6"/>
    <s v="Coho Vineyard"/>
    <s v="Cora Thomas"/>
    <s v="Canadá: este"/>
    <s v="Mezcla"/>
    <s v="Solución propuesta"/>
    <n v="149000"/>
    <n v="0.6"/>
    <n v="89400"/>
  </r>
  <r>
    <x v="7"/>
    <s v="Coho Winery"/>
    <s v="Suma Kini"/>
    <s v="Canadá: oeste"/>
    <s v="Aprendizaje"/>
    <s v="Propuesta escrita"/>
    <n v="142000"/>
    <n v="0.7"/>
    <n v="99400"/>
  </r>
  <r>
    <x v="8"/>
    <s v="Contoso, Ltd."/>
    <s v="Cora Thomas"/>
    <s v="EMEA: Francia"/>
    <s v="Mezcla"/>
    <s v="Aprobación verbal"/>
    <n v="172500"/>
    <n v="0.9"/>
    <n v="155250"/>
  </r>
  <r>
    <x v="9"/>
    <s v="Contoso Pharmaceuticals"/>
    <s v="Ellis Turner"/>
    <s v="EMEA: Alemania"/>
    <s v="Productos"/>
    <s v="Patrocinio"/>
    <n v="163500"/>
    <n v="0.2"/>
    <n v="32700"/>
  </r>
  <r>
    <x v="10"/>
    <s v="Consolidated Messenger"/>
    <s v="Suma Kini"/>
    <s v="EMEA: Italia"/>
    <s v="Productos"/>
    <s v="Aprobación formal"/>
    <n v="155500"/>
    <n v="1"/>
    <n v="155500"/>
  </r>
  <r>
    <x v="0"/>
    <s v="Fabrikam, Inc."/>
    <s v="Ellis Turner"/>
    <s v="EMEA: otro"/>
    <s v="Consultoría"/>
    <s v="Oportunidad"/>
    <n v="166000"/>
    <n v="0.1"/>
    <n v="16600"/>
  </r>
  <r>
    <x v="2"/>
    <s v="Fourth Coffee"/>
    <s v="Cora Thomas"/>
    <s v="APSA: Asia"/>
    <s v="Aprendizaje"/>
    <s v="Presupuesto validado"/>
    <n v="180000"/>
    <n v="0.3"/>
    <n v="54000"/>
  </r>
  <r>
    <x v="4"/>
    <s v="Graphic Design Institute"/>
    <s v="Miho Kojima"/>
    <s v="APSA: Pacífico"/>
    <s v="Servicios"/>
    <s v="Solución propuesta"/>
    <n v="140000"/>
    <n v="0.6"/>
    <n v="84000"/>
  </r>
  <r>
    <x v="5"/>
    <s v="Humongous Insurance"/>
    <s v="Rowan Murphy"/>
    <s v="APSA: México"/>
    <s v="Soporte"/>
    <s v="Patrocinio"/>
    <n v="155000"/>
    <n v="0.3"/>
    <n v="46500"/>
  </r>
  <r>
    <x v="8"/>
    <s v="Litware, Inc."/>
    <s v="Miho Kojima"/>
    <s v="APSA: Australia"/>
    <s v="Servicios profesionales"/>
    <s v="Análisis de necesidades"/>
    <n v="173200"/>
    <n v="0.5"/>
    <n v="86600"/>
  </r>
  <r>
    <x v="10"/>
    <s v="Lucerne Publishing"/>
    <s v="Suma Kini"/>
    <s v="APSA: otro"/>
    <s v="Servicios"/>
    <s v="Solución propuesta"/>
    <n v="146500"/>
    <n v="0.6"/>
    <n v="87900"/>
  </r>
  <r>
    <x v="9"/>
    <s v="Margie's Travel"/>
    <s v="Ellis Turner"/>
    <s v="Estados Unidos: nordeste"/>
    <s v="Soporte técnico"/>
    <s v="Propuesta escrita"/>
    <n v="156750"/>
    <n v="0.7"/>
    <n v="109725"/>
  </r>
  <r>
    <x v="1"/>
    <s v="Northwind Traders"/>
    <s v="Cora Thomas"/>
    <s v="Estados Unidos: sur central"/>
    <s v="Servicios profesionales"/>
    <s v="Aprobación verbal"/>
    <n v="162000"/>
    <n v="0.9"/>
    <n v="145800"/>
  </r>
  <r>
    <x v="2"/>
    <s v="Proseware, Inc."/>
    <s v="Ellis Turner"/>
    <s v="Canadá: este"/>
    <s v="Mezcla"/>
    <s v="Aprobación formal"/>
    <n v="157000"/>
    <n v="1"/>
    <n v="157000"/>
  </r>
  <r>
    <x v="3"/>
    <s v="School of Fine Art"/>
    <s v="Miho Kojima"/>
    <s v="EMEA: Francia"/>
    <s v="Servicios"/>
    <s v="Presupuesto validado"/>
    <n v="173000"/>
    <n v="0.4"/>
    <n v="69200"/>
  </r>
  <r>
    <x v="7"/>
    <s v="Vídeo de Southridge"/>
    <s v="Suma Kini"/>
    <s v="EMEA: Reino Unido"/>
    <s v="Mezcla"/>
    <s v="Análisis de necesidades"/>
    <n v="171000"/>
    <n v="0.5"/>
    <n v="85500"/>
  </r>
  <r>
    <x v="11"/>
    <s v="Tailspin Toys"/>
    <s v="Rowan Murphy"/>
    <s v="APSA: Australia"/>
    <s v="Productos"/>
    <s v="Solución propuesta"/>
    <n v="168000"/>
    <n v="0.6"/>
    <n v="1008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D9E9BD5-1C07-4D77-8334-1BD8F33A6C16}" name="PivotTable1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4" rowHeaderCaption="Mês">
  <location ref="A4:B17" firstHeaderRow="1" firstDataRow="1" firstDataCol="1"/>
  <pivotFields count="11">
    <pivotField numFmtId="165" showAll="0">
      <items count="13">
        <item x="0"/>
        <item x="1"/>
        <item x="2"/>
        <item x="3"/>
        <item x="4"/>
        <item x="5"/>
        <item x="6"/>
        <item x="7"/>
        <item x="11"/>
        <item x="8"/>
        <item x="9"/>
        <item x="10"/>
        <item t="default"/>
      </items>
    </pivotField>
    <pivotField showAll="0"/>
    <pivotField showAll="0"/>
    <pivotField showAll="0"/>
    <pivotField showAll="0"/>
    <pivotField showAll="0"/>
    <pivotField numFmtId="164" showAll="0"/>
    <pivotField numFmtId="9" showAll="0"/>
    <pivotField dataField="1" numFmtId="164" showAll="0"/>
    <pivotField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Row" showAll="0">
      <items count="15">
        <item sd="0" x="0"/>
        <item n="Janeiro" sd="0" x="1"/>
        <item n="Fevereiro" sd="0" x="2"/>
        <item n="Março" sd="0" x="3"/>
        <item n="Abril" sd="0" x="4"/>
        <item n="Maio" sd="0" x="5"/>
        <item n="Junho" sd="0" x="6"/>
        <item n="Julho" sd="0" x="7"/>
        <item n="Agosto" sd="0" x="8"/>
        <item n="Setembro" sd="0" x="9"/>
        <item n="Outubro" sd="0" x="10"/>
        <item n="Novembro" sd="0" x="11"/>
        <item n="Dezembro" sd="0" x="12"/>
        <item sd="0" x="13"/>
        <item t="default"/>
      </items>
    </pivotField>
  </pivotFields>
  <rowFields count="1">
    <field x="10"/>
  </rowFields>
  <rowItems count="13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Mensal _x000a_Previsão" fld="8" baseField="0" baseItem="0" numFmtId="167"/>
  </dataFields>
  <formats count="23">
    <format dxfId="22">
      <pivotArea dataOnly="0" labelOnly="1" fieldPosition="0">
        <references count="1">
          <reference field="10" count="0"/>
        </references>
      </pivotArea>
    </format>
    <format dxfId="21">
      <pivotArea type="all" dataOnly="0" outline="0" fieldPosition="0"/>
    </format>
    <format dxfId="20">
      <pivotArea outline="0" collapsedLevelsAreSubtotals="1" fieldPosition="0"/>
    </format>
    <format dxfId="19">
      <pivotArea field="10" type="button" dataOnly="0" labelOnly="1" outline="0" axis="axisRow" fieldPosition="0"/>
    </format>
    <format dxfId="18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17">
      <pivotArea dataOnly="0" labelOnly="1" grandRow="1" outline="0" fieldPosition="0"/>
    </format>
    <format dxfId="16">
      <pivotArea dataOnly="0" labelOnly="1" outline="0" axis="axisValues" fieldPosition="0"/>
    </format>
    <format dxfId="15">
      <pivotArea field="10" type="button" dataOnly="0" labelOnly="1" outline="0" axis="axisRow" fieldPosition="0"/>
    </format>
    <format dxfId="14">
      <pivotArea dataOnly="0" labelOnly="1" outline="0" axis="axisValues" fieldPosition="0"/>
    </format>
    <format dxfId="13">
      <pivotArea type="all" dataOnly="0" outline="0" fieldPosition="0"/>
    </format>
    <format dxfId="12">
      <pivotArea outline="0" collapsedLevelsAreSubtotals="1" fieldPosition="0"/>
    </format>
    <format dxfId="11">
      <pivotArea field="10" type="button" dataOnly="0" labelOnly="1" outline="0" axis="axisRow" fieldPosition="0"/>
    </format>
    <format dxfId="10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9">
      <pivotArea dataOnly="0" labelOnly="1" grandRow="1" outline="0" fieldPosition="0"/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field="10" type="button" dataOnly="0" labelOnly="1" outline="0" axis="axisRow" fieldPosition="0"/>
    </format>
    <format dxfId="4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  <format dxfId="3">
      <pivotArea dataOnly="0" labelOnly="1" grandRow="1" outline="0" fieldPosition="0"/>
    </format>
    <format dxfId="2">
      <pivotArea dataOnly="0" labelOnly="1" outline="0" axis="axisValues" fieldPosition="0"/>
    </format>
    <format dxfId="1">
      <pivotArea outline="0" collapsedLevelsAreSubtotals="1" fieldPosition="0"/>
    </format>
    <format dxfId="0">
      <pivotArea dataOnly="0" labelOnly="1" fieldPosition="0">
        <references count="1">
          <reference field="10" count="12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</reference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0" count="1" selected="0">
            <x v="2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0" count="1" selected="0">
            <x v="5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0" count="1" selected="0">
            <x v="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evisión__cerrar" xr10:uid="{67CA492F-B2C9-4EC9-B455-B7B3780EEFDE}" sourceName="Previsión _x000a_cerrar">
  <pivotTables>
    <pivotTable tabId="2" name="PivotTable1"/>
  </pivotTables>
  <data>
    <tabular pivotCacheId="2060980044">
      <items count="12">
        <i x="0" s="1"/>
        <i x="1" s="1"/>
        <i x="2" s="1"/>
        <i x="3" s="1"/>
        <i x="4" s="1"/>
        <i x="5" s="1"/>
        <i x="6" s="1"/>
        <i x="7" s="1"/>
        <i x="11" s="1"/>
        <i x="8" s="1"/>
        <i x="9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evisión _x000a_cerrar" xr10:uid="{9F441AE1-0527-4D25-805F-0ED719CAC2D1}" cache="Slicer_Previsión__cerrar" caption="Previsión _x000a_cerrar" startItem="6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9A5C4E-05E4-41A2-B69E-7B7C3A3691E4}" name="Table1" displayName="Table1" ref="A6:I29" totalsRowShown="0" headerRowDxfId="36" dataDxfId="34" headerRowBorderDxfId="35" tableBorderDxfId="33" totalsRowBorderDxfId="32">
  <autoFilter ref="A6:I29" xr:uid="{8B9A5C4E-05E4-41A2-B69E-7B7C3A3691E4}"/>
  <tableColumns count="9">
    <tableColumn id="1" xr3:uid="{DEB34C96-900E-40F4-980B-6F3201FB592B}" name="Previsão _x000a_Fechar janela" dataDxfId="31"/>
    <tableColumn id="2" xr3:uid="{9C9CD45E-4478-4CF1-B56B-7CC3B4607351}" name="Nome da Oportunidade" dataDxfId="30"/>
    <tableColumn id="3" xr3:uid="{EA5A938C-9DF7-4878-9F55-EABB45B93575}" name="Vendas _x000a_Agente" dataDxfId="29"/>
    <tableColumn id="4" xr3:uid="{57595529-C02B-4D0C-8847-9FEFF893E6CA}" name="Vendas _x000a_Região" dataDxfId="28"/>
    <tableColumn id="5" xr3:uid="{76022ABF-F417-412D-9735-67DA2F987B9E}" name="Vendas _x000a_Categoria" dataDxfId="27"/>
    <tableColumn id="6" xr3:uid="{7B7FD5A3-9B44-4861-B11D-2C1CC662DD62}" name="Vendas _x000a_Fase" dataDxfId="26"/>
    <tableColumn id="7" xr3:uid="{B839275C-4DE5-4543-9835-999ABA22517B}" name="Quantidade esperada" dataDxfId="25"/>
    <tableColumn id="8" xr3:uid="{6DBA05CA-FA32-45DB-A1F2-55CD9F078DEE}" name="Probabilidade de venda" dataDxfId="24"/>
    <tableColumn id="9" xr3:uid="{0F699A0D-E871-4CD2-9773-64205E751A2D}" name="Previsão ponderada" dataDxfId="23">
      <calculatedColumnFormula>+G7*H7</calculatedColumnFormula>
    </tableColumn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D0742-6BBC-4544-8C9F-1DB4BBA6BB3E}">
  <sheetPr>
    <tabColor theme="5" tint="-0.249977111117893"/>
  </sheetPr>
  <dimension ref="A1:I29"/>
  <sheetViews>
    <sheetView showGridLines="0" tabSelected="1" zoomScaleNormal="100" workbookViewId="0">
      <selection activeCell="D7" sqref="D7"/>
    </sheetView>
  </sheetViews>
  <sheetFormatPr baseColWidth="10" defaultColWidth="8.88671875" defaultRowHeight="13.2" x14ac:dyDescent="0.25"/>
  <cols>
    <col min="1" max="1" width="22.21875" customWidth="1"/>
    <col min="2" max="2" width="26.33203125" bestFit="1" customWidth="1"/>
    <col min="3" max="3" width="17.21875" bestFit="1" customWidth="1"/>
    <col min="4" max="4" width="27.77734375" customWidth="1"/>
    <col min="5" max="5" width="22.21875" customWidth="1"/>
    <col min="6" max="6" width="31.109375" customWidth="1"/>
    <col min="7" max="7" width="23.33203125" customWidth="1"/>
    <col min="8" max="8" width="24" customWidth="1"/>
    <col min="9" max="9" width="23.5546875" customWidth="1"/>
  </cols>
  <sheetData>
    <row r="1" spans="1:9" x14ac:dyDescent="0.25">
      <c r="A1" s="18" t="s">
        <v>18</v>
      </c>
      <c r="B1" s="18"/>
      <c r="C1" s="18"/>
      <c r="D1" s="18"/>
      <c r="E1" s="18"/>
      <c r="F1" s="18"/>
      <c r="G1" s="18"/>
      <c r="H1" s="18"/>
      <c r="I1" s="18"/>
    </row>
    <row r="2" spans="1:9" x14ac:dyDescent="0.25">
      <c r="A2" s="18"/>
      <c r="B2" s="18"/>
      <c r="C2" s="18"/>
      <c r="D2" s="18"/>
      <c r="E2" s="18"/>
      <c r="F2" s="18"/>
      <c r="G2" s="18"/>
      <c r="H2" s="18"/>
      <c r="I2" s="18"/>
    </row>
    <row r="3" spans="1:9" x14ac:dyDescent="0.25">
      <c r="A3" s="18"/>
      <c r="B3" s="18"/>
      <c r="C3" s="18"/>
      <c r="D3" s="18"/>
      <c r="E3" s="18"/>
      <c r="F3" s="18"/>
      <c r="G3" s="18"/>
      <c r="H3" s="18"/>
      <c r="I3" s="18"/>
    </row>
    <row r="4" spans="1:9" ht="4.8" customHeight="1" x14ac:dyDescent="0.25"/>
    <row r="5" spans="1:9" ht="4.8" customHeight="1" x14ac:dyDescent="0.25"/>
    <row r="6" spans="1:9" ht="28.2" customHeight="1" x14ac:dyDescent="0.25">
      <c r="A6" s="10" t="s">
        <v>19</v>
      </c>
      <c r="B6" s="6" t="s">
        <v>20</v>
      </c>
      <c r="C6" s="11" t="s">
        <v>33</v>
      </c>
      <c r="D6" s="11" t="s">
        <v>35</v>
      </c>
      <c r="E6" s="11" t="s">
        <v>54</v>
      </c>
      <c r="F6" s="11" t="s">
        <v>62</v>
      </c>
      <c r="G6" s="6" t="s">
        <v>72</v>
      </c>
      <c r="H6" s="6" t="s">
        <v>73</v>
      </c>
      <c r="I6" s="7" t="s">
        <v>74</v>
      </c>
    </row>
    <row r="7" spans="1:9" s="3" customFormat="1" ht="19.8" customHeight="1" x14ac:dyDescent="0.25">
      <c r="A7" s="12">
        <v>46023</v>
      </c>
      <c r="B7" s="1" t="s">
        <v>0</v>
      </c>
      <c r="C7" s="1" t="s">
        <v>1</v>
      </c>
      <c r="D7" s="1" t="s">
        <v>36</v>
      </c>
      <c r="E7" s="1" t="s">
        <v>55</v>
      </c>
      <c r="F7" s="1" t="s">
        <v>63</v>
      </c>
      <c r="G7" s="14">
        <v>150000</v>
      </c>
      <c r="H7" s="2">
        <v>0.9</v>
      </c>
      <c r="I7" s="14">
        <f t="shared" ref="I7:I29" si="0">+G7*H7</f>
        <v>135000</v>
      </c>
    </row>
    <row r="8" spans="1:9" s="3" customFormat="1" ht="19.8" customHeight="1" x14ac:dyDescent="0.25">
      <c r="A8" s="12">
        <v>46054</v>
      </c>
      <c r="B8" s="1" t="s">
        <v>2</v>
      </c>
      <c r="C8" s="1" t="s">
        <v>3</v>
      </c>
      <c r="D8" s="1" t="s">
        <v>37</v>
      </c>
      <c r="E8" s="1" t="s">
        <v>56</v>
      </c>
      <c r="F8" s="1" t="s">
        <v>64</v>
      </c>
      <c r="G8" s="14">
        <v>145200</v>
      </c>
      <c r="H8" s="2">
        <v>0.1</v>
      </c>
      <c r="I8" s="14">
        <f t="shared" si="0"/>
        <v>14520</v>
      </c>
    </row>
    <row r="9" spans="1:9" s="3" customFormat="1" ht="19.8" customHeight="1" x14ac:dyDescent="0.25">
      <c r="A9" s="12">
        <v>46082</v>
      </c>
      <c r="B9" s="1" t="s">
        <v>21</v>
      </c>
      <c r="C9" s="1" t="s">
        <v>4</v>
      </c>
      <c r="D9" s="1" t="s">
        <v>38</v>
      </c>
      <c r="E9" s="1" t="s">
        <v>57</v>
      </c>
      <c r="F9" s="1" t="s">
        <v>65</v>
      </c>
      <c r="G9" s="14">
        <v>162500</v>
      </c>
      <c r="H9" s="2">
        <v>0.2</v>
      </c>
      <c r="I9" s="14">
        <f t="shared" si="0"/>
        <v>32500</v>
      </c>
    </row>
    <row r="10" spans="1:9" s="3" customFormat="1" ht="19.8" customHeight="1" x14ac:dyDescent="0.25">
      <c r="A10" s="12">
        <v>46113</v>
      </c>
      <c r="B10" s="1" t="s">
        <v>22</v>
      </c>
      <c r="C10" s="1" t="s">
        <v>5</v>
      </c>
      <c r="D10" s="1" t="s">
        <v>39</v>
      </c>
      <c r="E10" s="1" t="s">
        <v>16</v>
      </c>
      <c r="F10" s="1" t="s">
        <v>66</v>
      </c>
      <c r="G10" s="14">
        <v>147500</v>
      </c>
      <c r="H10" s="2">
        <v>0.3</v>
      </c>
      <c r="I10" s="14">
        <f t="shared" si="0"/>
        <v>44250</v>
      </c>
    </row>
    <row r="11" spans="1:9" s="3" customFormat="1" ht="19.8" customHeight="1" x14ac:dyDescent="0.25">
      <c r="A11" s="12">
        <v>46143</v>
      </c>
      <c r="B11" s="1" t="s">
        <v>6</v>
      </c>
      <c r="C11" s="1" t="s">
        <v>34</v>
      </c>
      <c r="D11" s="1" t="s">
        <v>40</v>
      </c>
      <c r="E11" s="1" t="s">
        <v>58</v>
      </c>
      <c r="F11" s="1" t="s">
        <v>67</v>
      </c>
      <c r="G11" s="14">
        <v>148000</v>
      </c>
      <c r="H11" s="2">
        <v>0.4</v>
      </c>
      <c r="I11" s="14">
        <f t="shared" si="0"/>
        <v>59200</v>
      </c>
    </row>
    <row r="12" spans="1:9" s="3" customFormat="1" ht="19.8" customHeight="1" x14ac:dyDescent="0.25">
      <c r="A12" s="12">
        <v>46174</v>
      </c>
      <c r="B12" s="1" t="s">
        <v>23</v>
      </c>
      <c r="C12" s="1" t="s">
        <v>1</v>
      </c>
      <c r="D12" s="1" t="s">
        <v>41</v>
      </c>
      <c r="E12" s="1" t="s">
        <v>59</v>
      </c>
      <c r="F12" s="1" t="s">
        <v>68</v>
      </c>
      <c r="G12" s="14">
        <v>175000</v>
      </c>
      <c r="H12" s="2">
        <v>0.5</v>
      </c>
      <c r="I12" s="14">
        <f t="shared" si="0"/>
        <v>87500</v>
      </c>
    </row>
    <row r="13" spans="1:9" s="3" customFormat="1" ht="19.8" customHeight="1" x14ac:dyDescent="0.25">
      <c r="A13" s="12">
        <v>46204</v>
      </c>
      <c r="B13" s="1" t="s">
        <v>15</v>
      </c>
      <c r="C13" s="1" t="s">
        <v>4</v>
      </c>
      <c r="D13" s="1" t="s">
        <v>42</v>
      </c>
      <c r="E13" s="1" t="s">
        <v>16</v>
      </c>
      <c r="F13" s="1" t="s">
        <v>69</v>
      </c>
      <c r="G13" s="14">
        <v>149000</v>
      </c>
      <c r="H13" s="2">
        <v>0.6</v>
      </c>
      <c r="I13" s="14">
        <f t="shared" si="0"/>
        <v>89400</v>
      </c>
    </row>
    <row r="14" spans="1:9" s="3" customFormat="1" ht="19.8" customHeight="1" x14ac:dyDescent="0.25">
      <c r="A14" s="12">
        <v>46235</v>
      </c>
      <c r="B14" s="1" t="s">
        <v>24</v>
      </c>
      <c r="C14" s="1" t="s">
        <v>34</v>
      </c>
      <c r="D14" s="1" t="s">
        <v>43</v>
      </c>
      <c r="E14" s="1" t="s">
        <v>57</v>
      </c>
      <c r="F14" s="1" t="s">
        <v>70</v>
      </c>
      <c r="G14" s="14">
        <v>142000</v>
      </c>
      <c r="H14" s="2">
        <v>0.7</v>
      </c>
      <c r="I14" s="14">
        <f t="shared" si="0"/>
        <v>99400</v>
      </c>
    </row>
    <row r="15" spans="1:9" s="3" customFormat="1" ht="19.8" customHeight="1" x14ac:dyDescent="0.25">
      <c r="A15" s="12">
        <v>46296</v>
      </c>
      <c r="B15" s="1" t="s">
        <v>7</v>
      </c>
      <c r="C15" s="1" t="s">
        <v>4</v>
      </c>
      <c r="D15" s="1" t="s">
        <v>44</v>
      </c>
      <c r="E15" s="1" t="s">
        <v>16</v>
      </c>
      <c r="F15" s="1" t="s">
        <v>71</v>
      </c>
      <c r="G15" s="14">
        <v>172500</v>
      </c>
      <c r="H15" s="2">
        <v>0.9</v>
      </c>
      <c r="I15" s="14">
        <f t="shared" si="0"/>
        <v>155250</v>
      </c>
    </row>
    <row r="16" spans="1:9" s="3" customFormat="1" ht="19.8" customHeight="1" x14ac:dyDescent="0.25">
      <c r="A16" s="12">
        <v>46327</v>
      </c>
      <c r="B16" s="1" t="s">
        <v>8</v>
      </c>
      <c r="C16" s="1" t="s">
        <v>5</v>
      </c>
      <c r="D16" s="1" t="s">
        <v>45</v>
      </c>
      <c r="E16" s="1" t="s">
        <v>56</v>
      </c>
      <c r="F16" s="1" t="s">
        <v>66</v>
      </c>
      <c r="G16" s="14">
        <v>163500</v>
      </c>
      <c r="H16" s="2">
        <v>0.2</v>
      </c>
      <c r="I16" s="14">
        <f t="shared" si="0"/>
        <v>32700</v>
      </c>
    </row>
    <row r="17" spans="1:9" s="3" customFormat="1" ht="19.8" customHeight="1" x14ac:dyDescent="0.25">
      <c r="A17" s="12">
        <v>46357</v>
      </c>
      <c r="B17" s="1" t="s">
        <v>25</v>
      </c>
      <c r="C17" s="1" t="s">
        <v>34</v>
      </c>
      <c r="D17" s="1" t="s">
        <v>46</v>
      </c>
      <c r="E17" s="1" t="s">
        <v>56</v>
      </c>
      <c r="F17" s="1" t="s">
        <v>63</v>
      </c>
      <c r="G17" s="14">
        <v>155500</v>
      </c>
      <c r="H17" s="2">
        <v>1</v>
      </c>
      <c r="I17" s="14">
        <f t="shared" si="0"/>
        <v>155500</v>
      </c>
    </row>
    <row r="18" spans="1:9" s="3" customFormat="1" ht="19.8" customHeight="1" x14ac:dyDescent="0.25">
      <c r="A18" s="12">
        <v>46023</v>
      </c>
      <c r="B18" s="1" t="s">
        <v>9</v>
      </c>
      <c r="C18" s="1" t="s">
        <v>5</v>
      </c>
      <c r="D18" s="1" t="s">
        <v>47</v>
      </c>
      <c r="E18" s="1" t="s">
        <v>55</v>
      </c>
      <c r="F18" s="1" t="s">
        <v>64</v>
      </c>
      <c r="G18" s="14">
        <v>166000</v>
      </c>
      <c r="H18" s="2">
        <v>0.1</v>
      </c>
      <c r="I18" s="14">
        <f t="shared" si="0"/>
        <v>16600</v>
      </c>
    </row>
    <row r="19" spans="1:9" s="3" customFormat="1" ht="19.8" customHeight="1" x14ac:dyDescent="0.25">
      <c r="A19" s="12">
        <v>46082</v>
      </c>
      <c r="B19" s="1" t="s">
        <v>26</v>
      </c>
      <c r="C19" s="1" t="s">
        <v>4</v>
      </c>
      <c r="D19" s="1" t="s">
        <v>48</v>
      </c>
      <c r="E19" s="1" t="s">
        <v>57</v>
      </c>
      <c r="F19" s="1" t="s">
        <v>67</v>
      </c>
      <c r="G19" s="14">
        <v>180000</v>
      </c>
      <c r="H19" s="2">
        <v>0.3</v>
      </c>
      <c r="I19" s="14">
        <f t="shared" si="0"/>
        <v>54000</v>
      </c>
    </row>
    <row r="20" spans="1:9" s="3" customFormat="1" ht="19.8" customHeight="1" x14ac:dyDescent="0.25">
      <c r="A20" s="12">
        <v>46143</v>
      </c>
      <c r="B20" s="1" t="s">
        <v>27</v>
      </c>
      <c r="C20" s="1" t="s">
        <v>3</v>
      </c>
      <c r="D20" s="1" t="s">
        <v>10</v>
      </c>
      <c r="E20" s="1" t="s">
        <v>60</v>
      </c>
      <c r="F20" s="1" t="s">
        <v>69</v>
      </c>
      <c r="G20" s="14">
        <v>140000</v>
      </c>
      <c r="H20" s="2">
        <v>0.6</v>
      </c>
      <c r="I20" s="14">
        <f t="shared" si="0"/>
        <v>84000</v>
      </c>
    </row>
    <row r="21" spans="1:9" s="3" customFormat="1" ht="19.8" customHeight="1" x14ac:dyDescent="0.25">
      <c r="A21" s="12">
        <v>46174</v>
      </c>
      <c r="B21" s="1" t="s">
        <v>28</v>
      </c>
      <c r="C21" s="1" t="s">
        <v>1</v>
      </c>
      <c r="D21" s="1" t="s">
        <v>49</v>
      </c>
      <c r="E21" s="1" t="s">
        <v>59</v>
      </c>
      <c r="F21" s="1" t="s">
        <v>66</v>
      </c>
      <c r="G21" s="14">
        <v>155000</v>
      </c>
      <c r="H21" s="2">
        <v>0.3</v>
      </c>
      <c r="I21" s="14">
        <f t="shared" si="0"/>
        <v>46500</v>
      </c>
    </row>
    <row r="22" spans="1:9" s="3" customFormat="1" ht="19.8" customHeight="1" x14ac:dyDescent="0.25">
      <c r="A22" s="12">
        <v>46296</v>
      </c>
      <c r="B22" s="1" t="s">
        <v>11</v>
      </c>
      <c r="C22" s="1" t="s">
        <v>3</v>
      </c>
      <c r="D22" s="1" t="s">
        <v>50</v>
      </c>
      <c r="E22" s="1" t="s">
        <v>58</v>
      </c>
      <c r="F22" s="1" t="s">
        <v>68</v>
      </c>
      <c r="G22" s="14">
        <v>173200</v>
      </c>
      <c r="H22" s="2">
        <v>0.5</v>
      </c>
      <c r="I22" s="14">
        <f t="shared" si="0"/>
        <v>86600</v>
      </c>
    </row>
    <row r="23" spans="1:9" s="3" customFormat="1" ht="19.8" customHeight="1" x14ac:dyDescent="0.25">
      <c r="A23" s="12">
        <v>46357</v>
      </c>
      <c r="B23" s="1" t="s">
        <v>12</v>
      </c>
      <c r="C23" s="1" t="s">
        <v>34</v>
      </c>
      <c r="D23" s="1" t="s">
        <v>51</v>
      </c>
      <c r="E23" s="1" t="s">
        <v>60</v>
      </c>
      <c r="F23" s="1" t="s">
        <v>69</v>
      </c>
      <c r="G23" s="14">
        <v>146500</v>
      </c>
      <c r="H23" s="2">
        <v>0.6</v>
      </c>
      <c r="I23" s="14">
        <f t="shared" si="0"/>
        <v>87900</v>
      </c>
    </row>
    <row r="24" spans="1:9" s="3" customFormat="1" ht="19.8" customHeight="1" x14ac:dyDescent="0.25">
      <c r="A24" s="12">
        <v>46327</v>
      </c>
      <c r="B24" s="1" t="s">
        <v>29</v>
      </c>
      <c r="C24" s="1" t="s">
        <v>5</v>
      </c>
      <c r="D24" s="1" t="s">
        <v>36</v>
      </c>
      <c r="E24" s="1" t="s">
        <v>61</v>
      </c>
      <c r="F24" s="1" t="s">
        <v>70</v>
      </c>
      <c r="G24" s="14">
        <v>156750</v>
      </c>
      <c r="H24" s="2">
        <v>0.7</v>
      </c>
      <c r="I24" s="14">
        <f t="shared" si="0"/>
        <v>109725</v>
      </c>
    </row>
    <row r="25" spans="1:9" s="3" customFormat="1" ht="19.8" customHeight="1" x14ac:dyDescent="0.25">
      <c r="A25" s="12">
        <v>46054</v>
      </c>
      <c r="B25" s="1" t="s">
        <v>13</v>
      </c>
      <c r="C25" s="1" t="s">
        <v>4</v>
      </c>
      <c r="D25" s="1" t="s">
        <v>39</v>
      </c>
      <c r="E25" s="1" t="s">
        <v>58</v>
      </c>
      <c r="F25" s="1" t="s">
        <v>71</v>
      </c>
      <c r="G25" s="14">
        <v>162000</v>
      </c>
      <c r="H25" s="2">
        <v>0.9</v>
      </c>
      <c r="I25" s="14">
        <f t="shared" si="0"/>
        <v>145800</v>
      </c>
    </row>
    <row r="26" spans="1:9" s="3" customFormat="1" ht="19.8" customHeight="1" x14ac:dyDescent="0.25">
      <c r="A26" s="12">
        <v>46082</v>
      </c>
      <c r="B26" s="1" t="s">
        <v>14</v>
      </c>
      <c r="C26" s="1" t="s">
        <v>5</v>
      </c>
      <c r="D26" s="1" t="s">
        <v>52</v>
      </c>
      <c r="E26" s="1" t="s">
        <v>16</v>
      </c>
      <c r="F26" s="1" t="s">
        <v>63</v>
      </c>
      <c r="G26" s="14">
        <v>157000</v>
      </c>
      <c r="H26" s="2">
        <v>1</v>
      </c>
      <c r="I26" s="14">
        <f t="shared" si="0"/>
        <v>157000</v>
      </c>
    </row>
    <row r="27" spans="1:9" s="3" customFormat="1" ht="19.8" customHeight="1" x14ac:dyDescent="0.25">
      <c r="A27" s="12">
        <v>46113</v>
      </c>
      <c r="B27" s="1" t="s">
        <v>30</v>
      </c>
      <c r="C27" s="1" t="s">
        <v>3</v>
      </c>
      <c r="D27" s="1" t="s">
        <v>44</v>
      </c>
      <c r="E27" s="1" t="s">
        <v>60</v>
      </c>
      <c r="F27" s="1" t="s">
        <v>67</v>
      </c>
      <c r="G27" s="14">
        <v>173000</v>
      </c>
      <c r="H27" s="2">
        <v>0.4</v>
      </c>
      <c r="I27" s="14">
        <f t="shared" si="0"/>
        <v>69200</v>
      </c>
    </row>
    <row r="28" spans="1:9" s="3" customFormat="1" ht="19.8" customHeight="1" x14ac:dyDescent="0.25">
      <c r="A28" s="12">
        <v>46235</v>
      </c>
      <c r="B28" s="1" t="s">
        <v>31</v>
      </c>
      <c r="C28" s="1" t="s">
        <v>34</v>
      </c>
      <c r="D28" s="1" t="s">
        <v>53</v>
      </c>
      <c r="E28" s="1" t="s">
        <v>16</v>
      </c>
      <c r="F28" s="1" t="s">
        <v>68</v>
      </c>
      <c r="G28" s="14">
        <v>171000</v>
      </c>
      <c r="H28" s="2">
        <v>0.5</v>
      </c>
      <c r="I28" s="14">
        <f t="shared" si="0"/>
        <v>85500</v>
      </c>
    </row>
    <row r="29" spans="1:9" s="3" customFormat="1" ht="19.8" customHeight="1" x14ac:dyDescent="0.25">
      <c r="A29" s="13">
        <v>46266</v>
      </c>
      <c r="B29" s="4" t="s">
        <v>32</v>
      </c>
      <c r="C29" s="4" t="s">
        <v>1</v>
      </c>
      <c r="D29" s="4" t="s">
        <v>50</v>
      </c>
      <c r="E29" s="4" t="s">
        <v>56</v>
      </c>
      <c r="F29" s="4" t="s">
        <v>69</v>
      </c>
      <c r="G29" s="15">
        <v>168000</v>
      </c>
      <c r="H29" s="5">
        <v>0.6</v>
      </c>
      <c r="I29" s="15">
        <f t="shared" si="0"/>
        <v>100800</v>
      </c>
    </row>
  </sheetData>
  <mergeCells count="1">
    <mergeCell ref="A1:I3"/>
  </mergeCells>
  <pageMargins left="0.7" right="0.7" top="0.75" bottom="0.75" header="0.3" footer="0.3"/>
  <pageSetup scale="4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B7923-0B59-48FA-9669-0A959B83726C}">
  <sheetPr>
    <tabColor rgb="FF002060"/>
  </sheetPr>
  <dimension ref="A1:C17"/>
  <sheetViews>
    <sheetView showGridLines="0" zoomScaleNormal="100" workbookViewId="0">
      <selection activeCell="C18" sqref="C18"/>
    </sheetView>
  </sheetViews>
  <sheetFormatPr baseColWidth="10" defaultColWidth="8.88671875" defaultRowHeight="13.2" x14ac:dyDescent="0.25"/>
  <cols>
    <col min="1" max="1" width="15" customWidth="1"/>
    <col min="2" max="2" width="22.33203125" bestFit="1" customWidth="1"/>
    <col min="3" max="3" width="26.109375" bestFit="1" customWidth="1"/>
    <col min="4" max="24" width="11.77734375" bestFit="1" customWidth="1"/>
    <col min="25" max="25" width="11.33203125" bestFit="1" customWidth="1"/>
  </cols>
  <sheetData>
    <row r="1" spans="1:3" x14ac:dyDescent="0.25">
      <c r="A1" s="19" t="s">
        <v>18</v>
      </c>
      <c r="B1" s="19"/>
      <c r="C1" s="19"/>
    </row>
    <row r="2" spans="1:3" x14ac:dyDescent="0.25">
      <c r="A2" s="19"/>
      <c r="B2" s="19"/>
      <c r="C2" s="19"/>
    </row>
    <row r="4" spans="1:3" ht="19.8" customHeight="1" x14ac:dyDescent="0.25">
      <c r="A4" s="8" t="s">
        <v>75</v>
      </c>
      <c r="B4" s="8" t="s">
        <v>76</v>
      </c>
      <c r="C4" s="9" t="s">
        <v>77</v>
      </c>
    </row>
    <row r="5" spans="1:3" ht="23.4" customHeight="1" x14ac:dyDescent="0.25">
      <c r="A5" s="17" t="s">
        <v>78</v>
      </c>
      <c r="B5" s="14">
        <v>151600</v>
      </c>
      <c r="C5" s="14">
        <f>+GETPIVOTDATA("Previsión ponderada",$A$4,"Months (Previsión 
cerrar)",1)</f>
        <v>151600</v>
      </c>
    </row>
    <row r="6" spans="1:3" ht="23.4" customHeight="1" x14ac:dyDescent="0.25">
      <c r="A6" s="17" t="s">
        <v>79</v>
      </c>
      <c r="B6" s="14">
        <v>160320</v>
      </c>
      <c r="C6" s="14">
        <f>+GETPIVOTDATA("Previsión ponderada",$A$4,"Months (Previsión 
cerrar)",2)+C5</f>
        <v>311920</v>
      </c>
    </row>
    <row r="7" spans="1:3" ht="23.4" customHeight="1" x14ac:dyDescent="0.25">
      <c r="A7" s="17" t="s">
        <v>80</v>
      </c>
      <c r="B7" s="14">
        <v>243500</v>
      </c>
      <c r="C7" s="14">
        <f>+GETPIVOTDATA("Previsión ponderada",$A$4,"Months (Previsión 
cerrar)",3)+C6</f>
        <v>555420</v>
      </c>
    </row>
    <row r="8" spans="1:3" ht="23.4" customHeight="1" x14ac:dyDescent="0.25">
      <c r="A8" s="17" t="s">
        <v>81</v>
      </c>
      <c r="B8" s="14">
        <v>113450</v>
      </c>
      <c r="C8" s="14">
        <f>+GETPIVOTDATA("Previsión ponderada",$A$4,"Months (Previsión 
cerrar)",4)+C7</f>
        <v>668870</v>
      </c>
    </row>
    <row r="9" spans="1:3" ht="23.4" customHeight="1" x14ac:dyDescent="0.25">
      <c r="A9" s="17" t="s">
        <v>82</v>
      </c>
      <c r="B9" s="14">
        <v>143200</v>
      </c>
      <c r="C9" s="14">
        <f>+GETPIVOTDATA("Previsión ponderada",$A$4,"Months (Previsión 
cerrar)",5)+C8</f>
        <v>812070</v>
      </c>
    </row>
    <row r="10" spans="1:3" ht="23.4" customHeight="1" x14ac:dyDescent="0.25">
      <c r="A10" s="17" t="s">
        <v>83</v>
      </c>
      <c r="B10" s="14">
        <v>134000</v>
      </c>
      <c r="C10" s="14">
        <f>+GETPIVOTDATA("Previsión ponderada",$A$4,"Months (Previsión 
cerrar)",6)+C9</f>
        <v>946070</v>
      </c>
    </row>
    <row r="11" spans="1:3" ht="23.4" customHeight="1" x14ac:dyDescent="0.25">
      <c r="A11" s="17" t="s">
        <v>84</v>
      </c>
      <c r="B11" s="14">
        <v>89400</v>
      </c>
      <c r="C11" s="14">
        <f>+GETPIVOTDATA("Previsión ponderada",$A$4,"Months (Previsión 
cerrar)",7)+C10</f>
        <v>1035470</v>
      </c>
    </row>
    <row r="12" spans="1:3" ht="23.4" customHeight="1" x14ac:dyDescent="0.25">
      <c r="A12" s="17" t="s">
        <v>17</v>
      </c>
      <c r="B12" s="14">
        <v>184900</v>
      </c>
      <c r="C12" s="14">
        <f>+GETPIVOTDATA("Previsión ponderada",$A$4,"Months (Previsión 
cerrar)",8)+C11</f>
        <v>1220370</v>
      </c>
    </row>
    <row r="13" spans="1:3" ht="23.4" customHeight="1" x14ac:dyDescent="0.25">
      <c r="A13" s="17" t="s">
        <v>85</v>
      </c>
      <c r="B13" s="14">
        <v>100800</v>
      </c>
      <c r="C13" s="14">
        <f>+GETPIVOTDATA("Previsión ponderada",$A$4,"Months (Previsión 
cerrar)",9)+C12</f>
        <v>1321170</v>
      </c>
    </row>
    <row r="14" spans="1:3" ht="23.4" customHeight="1" x14ac:dyDescent="0.25">
      <c r="A14" s="17" t="s">
        <v>86</v>
      </c>
      <c r="B14" s="14">
        <v>241850</v>
      </c>
      <c r="C14" s="14">
        <f>+GETPIVOTDATA("Previsión ponderada",$A$4,"Months (Previsión 
cerrar)",10)+C13</f>
        <v>1563020</v>
      </c>
    </row>
    <row r="15" spans="1:3" ht="23.4" customHeight="1" x14ac:dyDescent="0.25">
      <c r="A15" s="17" t="s">
        <v>87</v>
      </c>
      <c r="B15" s="14">
        <v>142425</v>
      </c>
      <c r="C15" s="14">
        <f>+GETPIVOTDATA("Previsión ponderada",$A$4,"Months (Previsión 
cerrar)",11)+C14</f>
        <v>1705445</v>
      </c>
    </row>
    <row r="16" spans="1:3" ht="23.4" customHeight="1" x14ac:dyDescent="0.25">
      <c r="A16" s="17" t="s">
        <v>88</v>
      </c>
      <c r="B16" s="14">
        <v>243400</v>
      </c>
      <c r="C16" s="14">
        <f>+GETPIVOTDATA("Previsión ponderada",$A$4,"Months (Previsión 
cerrar)",12)+C15</f>
        <v>1948845</v>
      </c>
    </row>
    <row r="17" spans="1:3" ht="19.8" customHeight="1" x14ac:dyDescent="0.25">
      <c r="A17" s="1" t="s">
        <v>89</v>
      </c>
      <c r="B17" s="14">
        <v>1948845</v>
      </c>
      <c r="C17" s="16">
        <f>+C16</f>
        <v>1948845</v>
      </c>
    </row>
  </sheetData>
  <mergeCells count="1">
    <mergeCell ref="A1:C2"/>
  </mergeCells>
  <pageMargins left="0.7" right="0.7" top="0.75" bottom="0.75" header="0.3" footer="0.3"/>
  <pageSetup scale="52" orientation="portrait" r:id="rId2"/>
  <ignoredErrors>
    <ignoredError sqref="C7" formula="1"/>
  </ignoredErrors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Detalhes</vt:lpstr>
      <vt:lpstr>Previsões de vendas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2025-11-29T03:13:50Z</dcterms:created>
  <dcterms:modified xsi:type="dcterms:W3CDTF">2026-01-23T00:54:30Z</dcterms:modified>
</cp:coreProperties>
</file>