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400" documentId="13_ncr:1_{0F1CDA14-D3B2-4A13-A0F0-58D672E6EAAE}" xr6:coauthVersionLast="47" xr6:coauthVersionMax="47" xr10:uidLastSave="{52768627-9E16-44BF-931A-01E0B03A19C7}"/>
  <bookViews>
    <workbookView xWindow="-108" yWindow="-108" windowWidth="23256" windowHeight="12456" xr2:uid="{16732E13-9B9C-496F-B55A-22637CB07654}"/>
  </bookViews>
  <sheets>
    <sheet name="PAINEL DE INSTRUMENTOS" sheetId="4" r:id="rId1"/>
    <sheet name="Custos Totais de Escritório" sheetId="1" r:id="rId2"/>
    <sheet name="DESPESAS REAIS" sheetId="3" r:id="rId3"/>
    <sheet name="DIFERENÇAS NAS DESPESAS" sheetId="2" r:id="rId4"/>
  </sheets>
  <definedNames>
    <definedName name="Slicer_Expense_Category">#N/A</definedName>
  </definedNames>
  <calcPr calcId="191029"/>
  <pivotCaches>
    <pivotCache cacheId="0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2" l="1"/>
  <c r="O10" i="2"/>
  <c r="O30" i="3"/>
  <c r="O21" i="3"/>
  <c r="O10" i="3"/>
  <c r="O30" i="1"/>
  <c r="O21" i="1"/>
  <c r="O10" i="1"/>
  <c r="C33" i="2"/>
  <c r="D33" i="2"/>
  <c r="E33" i="2"/>
  <c r="F33" i="2"/>
  <c r="G33" i="2"/>
  <c r="H33" i="2"/>
  <c r="I33" i="2"/>
  <c r="J33" i="2"/>
  <c r="K33" i="2"/>
  <c r="L33" i="2"/>
  <c r="M33" i="2"/>
  <c r="N33" i="2"/>
  <c r="D32" i="2"/>
  <c r="E32" i="2"/>
  <c r="F32" i="2"/>
  <c r="G32" i="2"/>
  <c r="H32" i="2"/>
  <c r="I32" i="2"/>
  <c r="J32" i="2"/>
  <c r="K32" i="2"/>
  <c r="L32" i="2"/>
  <c r="M32" i="2"/>
  <c r="N32" i="2"/>
  <c r="C32" i="2"/>
  <c r="C24" i="2"/>
  <c r="D24" i="2"/>
  <c r="E24" i="2"/>
  <c r="F24" i="2"/>
  <c r="G24" i="2"/>
  <c r="H24" i="2"/>
  <c r="I24" i="2"/>
  <c r="J24" i="2"/>
  <c r="K24" i="2"/>
  <c r="L24" i="2"/>
  <c r="M24" i="2"/>
  <c r="N24" i="2"/>
  <c r="C25" i="2"/>
  <c r="D25" i="2"/>
  <c r="E25" i="2"/>
  <c r="F25" i="2"/>
  <c r="G25" i="2"/>
  <c r="H25" i="2"/>
  <c r="I25" i="2"/>
  <c r="J25" i="2"/>
  <c r="K25" i="2"/>
  <c r="L25" i="2"/>
  <c r="M25" i="2"/>
  <c r="N25" i="2"/>
  <c r="C26" i="2"/>
  <c r="D26" i="2"/>
  <c r="E26" i="2"/>
  <c r="F26" i="2"/>
  <c r="G26" i="2"/>
  <c r="H26" i="2"/>
  <c r="I26" i="2"/>
  <c r="J26" i="2"/>
  <c r="K26" i="2"/>
  <c r="L26" i="2"/>
  <c r="M26" i="2"/>
  <c r="N26" i="2"/>
  <c r="C27" i="2"/>
  <c r="D27" i="2"/>
  <c r="E27" i="2"/>
  <c r="F27" i="2"/>
  <c r="G27" i="2"/>
  <c r="H27" i="2"/>
  <c r="I27" i="2"/>
  <c r="J27" i="2"/>
  <c r="K27" i="2"/>
  <c r="L27" i="2"/>
  <c r="M27" i="2"/>
  <c r="N27" i="2"/>
  <c r="C28" i="2"/>
  <c r="D28" i="2"/>
  <c r="E28" i="2"/>
  <c r="F28" i="2"/>
  <c r="G28" i="2"/>
  <c r="H28" i="2"/>
  <c r="I28" i="2"/>
  <c r="J28" i="2"/>
  <c r="K28" i="2"/>
  <c r="L28" i="2"/>
  <c r="M28" i="2"/>
  <c r="N28" i="2"/>
  <c r="D23" i="2"/>
  <c r="E23" i="2"/>
  <c r="F23" i="2"/>
  <c r="G23" i="2"/>
  <c r="H23" i="2"/>
  <c r="I23" i="2"/>
  <c r="J23" i="2"/>
  <c r="K23" i="2"/>
  <c r="L23" i="2"/>
  <c r="M23" i="2"/>
  <c r="N23" i="2"/>
  <c r="C23" i="2"/>
  <c r="D12" i="2"/>
  <c r="E12" i="2"/>
  <c r="F12" i="2"/>
  <c r="G12" i="2"/>
  <c r="H12" i="2"/>
  <c r="I12" i="2"/>
  <c r="J12" i="2"/>
  <c r="K12" i="2"/>
  <c r="L12" i="2"/>
  <c r="M12" i="2"/>
  <c r="N12" i="2"/>
  <c r="D13" i="2"/>
  <c r="E13" i="2"/>
  <c r="F13" i="2"/>
  <c r="G13" i="2"/>
  <c r="H13" i="2"/>
  <c r="I13" i="2"/>
  <c r="J13" i="2"/>
  <c r="K13" i="2"/>
  <c r="L13" i="2"/>
  <c r="M13" i="2"/>
  <c r="N13" i="2"/>
  <c r="D14" i="2"/>
  <c r="E14" i="2"/>
  <c r="F14" i="2"/>
  <c r="G14" i="2"/>
  <c r="H14" i="2"/>
  <c r="I14" i="2"/>
  <c r="J14" i="2"/>
  <c r="K14" i="2"/>
  <c r="L14" i="2"/>
  <c r="M14" i="2"/>
  <c r="N14" i="2"/>
  <c r="D15" i="2"/>
  <c r="E15" i="2"/>
  <c r="F15" i="2"/>
  <c r="G15" i="2"/>
  <c r="H15" i="2"/>
  <c r="I15" i="2"/>
  <c r="J15" i="2"/>
  <c r="K15" i="2"/>
  <c r="L15" i="2"/>
  <c r="M15" i="2"/>
  <c r="N15" i="2"/>
  <c r="D16" i="2"/>
  <c r="E16" i="2"/>
  <c r="F16" i="2"/>
  <c r="G16" i="2"/>
  <c r="H16" i="2"/>
  <c r="I16" i="2"/>
  <c r="J16" i="2"/>
  <c r="K16" i="2"/>
  <c r="L16" i="2"/>
  <c r="M16" i="2"/>
  <c r="N16" i="2"/>
  <c r="D17" i="2"/>
  <c r="E17" i="2"/>
  <c r="F17" i="2"/>
  <c r="G17" i="2"/>
  <c r="H17" i="2"/>
  <c r="I17" i="2"/>
  <c r="J17" i="2"/>
  <c r="K17" i="2"/>
  <c r="L17" i="2"/>
  <c r="M17" i="2"/>
  <c r="N17" i="2"/>
  <c r="D18" i="2"/>
  <c r="E18" i="2"/>
  <c r="F18" i="2"/>
  <c r="G18" i="2"/>
  <c r="H18" i="2"/>
  <c r="I18" i="2"/>
  <c r="J18" i="2"/>
  <c r="K18" i="2"/>
  <c r="L18" i="2"/>
  <c r="M18" i="2"/>
  <c r="N18" i="2"/>
  <c r="D19" i="2"/>
  <c r="E19" i="2"/>
  <c r="F19" i="2"/>
  <c r="G19" i="2"/>
  <c r="H19" i="2"/>
  <c r="I19" i="2"/>
  <c r="J19" i="2"/>
  <c r="K19" i="2"/>
  <c r="L19" i="2"/>
  <c r="M19" i="2"/>
  <c r="N19" i="2"/>
  <c r="C13" i="2"/>
  <c r="C14" i="2"/>
  <c r="C15" i="2"/>
  <c r="C16" i="2"/>
  <c r="C17" i="2"/>
  <c r="C18" i="2"/>
  <c r="C19" i="2"/>
  <c r="C12" i="2"/>
  <c r="D8" i="2"/>
  <c r="E8" i="2"/>
  <c r="F8" i="2"/>
  <c r="G8" i="2"/>
  <c r="H8" i="2"/>
  <c r="I8" i="2"/>
  <c r="J8" i="2"/>
  <c r="K8" i="2"/>
  <c r="L8" i="2"/>
  <c r="M8" i="2"/>
  <c r="N8" i="2"/>
  <c r="C8" i="2"/>
  <c r="D7" i="2"/>
  <c r="E7" i="2"/>
  <c r="F7" i="2"/>
  <c r="G7" i="2"/>
  <c r="H7" i="2"/>
  <c r="I7" i="2"/>
  <c r="J7" i="2"/>
  <c r="K7" i="2"/>
  <c r="L7" i="2"/>
  <c r="M7" i="2"/>
  <c r="N7" i="2"/>
  <c r="C7" i="2"/>
  <c r="O6" i="2"/>
  <c r="O6" i="3"/>
  <c r="O7" i="3"/>
  <c r="O8" i="3"/>
  <c r="C9" i="3"/>
  <c r="D9" i="3"/>
  <c r="E9" i="3"/>
  <c r="F9" i="3"/>
  <c r="G9" i="3"/>
  <c r="H9" i="3"/>
  <c r="I9" i="3"/>
  <c r="J9" i="3"/>
  <c r="K9" i="3"/>
  <c r="L9" i="3"/>
  <c r="M9" i="3"/>
  <c r="N9" i="3"/>
  <c r="O12" i="3"/>
  <c r="O13" i="3"/>
  <c r="O14" i="3"/>
  <c r="O15" i="3"/>
  <c r="O16" i="3"/>
  <c r="O17" i="3"/>
  <c r="O18" i="3"/>
  <c r="O19" i="3"/>
  <c r="C20" i="3"/>
  <c r="D20" i="3"/>
  <c r="E20" i="3"/>
  <c r="F20" i="3"/>
  <c r="G20" i="3"/>
  <c r="H20" i="3"/>
  <c r="I20" i="3"/>
  <c r="J20" i="3"/>
  <c r="K20" i="3"/>
  <c r="L20" i="3"/>
  <c r="M20" i="3"/>
  <c r="N20" i="3"/>
  <c r="O23" i="3"/>
  <c r="O24" i="3"/>
  <c r="O25" i="3"/>
  <c r="O26" i="3"/>
  <c r="O27" i="3"/>
  <c r="O28" i="3"/>
  <c r="C29" i="3"/>
  <c r="D29" i="3"/>
  <c r="E29" i="3"/>
  <c r="F29" i="3"/>
  <c r="G29" i="3"/>
  <c r="H29" i="3"/>
  <c r="I29" i="3"/>
  <c r="J29" i="3"/>
  <c r="K29" i="3"/>
  <c r="L29" i="3"/>
  <c r="M29" i="3"/>
  <c r="N29" i="3"/>
  <c r="O32" i="3"/>
  <c r="O33" i="3"/>
  <c r="C34" i="3"/>
  <c r="D34" i="3"/>
  <c r="E34" i="3"/>
  <c r="F34" i="3"/>
  <c r="F35" i="3" s="1"/>
  <c r="G34" i="3"/>
  <c r="G35" i="3" s="1"/>
  <c r="H34" i="3"/>
  <c r="I34" i="3"/>
  <c r="J34" i="3"/>
  <c r="K34" i="3"/>
  <c r="K35" i="3" s="1"/>
  <c r="L34" i="3"/>
  <c r="M34" i="3"/>
  <c r="N34" i="3"/>
  <c r="C35" i="3"/>
  <c r="C36" i="3" s="1"/>
  <c r="O7" i="1"/>
  <c r="O8" i="1"/>
  <c r="C9" i="1"/>
  <c r="D9" i="1"/>
  <c r="E9" i="1"/>
  <c r="F9" i="1"/>
  <c r="G9" i="1"/>
  <c r="H9" i="1"/>
  <c r="I9" i="1"/>
  <c r="J9" i="1"/>
  <c r="K9" i="1"/>
  <c r="L9" i="1"/>
  <c r="M9" i="1"/>
  <c r="N9" i="1"/>
  <c r="O12" i="1"/>
  <c r="O13" i="1"/>
  <c r="O14" i="1"/>
  <c r="O15" i="1"/>
  <c r="O16" i="1"/>
  <c r="O17" i="1"/>
  <c r="O18" i="1"/>
  <c r="O19" i="1"/>
  <c r="C20" i="1"/>
  <c r="D20" i="1"/>
  <c r="E20" i="1"/>
  <c r="F20" i="1"/>
  <c r="G20" i="1"/>
  <c r="H20" i="1"/>
  <c r="I20" i="1"/>
  <c r="J20" i="1"/>
  <c r="K20" i="1"/>
  <c r="L20" i="1"/>
  <c r="M20" i="1"/>
  <c r="N20" i="1"/>
  <c r="O23" i="1"/>
  <c r="O24" i="1"/>
  <c r="O25" i="1"/>
  <c r="O26" i="1"/>
  <c r="O27" i="1"/>
  <c r="O28" i="1"/>
  <c r="C29" i="1"/>
  <c r="D29" i="1"/>
  <c r="E29" i="1"/>
  <c r="F29" i="1"/>
  <c r="G29" i="1"/>
  <c r="H29" i="1"/>
  <c r="I29" i="1"/>
  <c r="J29" i="1"/>
  <c r="K29" i="1"/>
  <c r="L29" i="1"/>
  <c r="M29" i="1"/>
  <c r="N29" i="1"/>
  <c r="O32" i="1"/>
  <c r="O33" i="1"/>
  <c r="C34" i="1"/>
  <c r="D34" i="1"/>
  <c r="E34" i="1"/>
  <c r="E35" i="1" s="1"/>
  <c r="F34" i="1"/>
  <c r="G34" i="1"/>
  <c r="H34" i="1"/>
  <c r="I34" i="1"/>
  <c r="J34" i="1"/>
  <c r="K34" i="1"/>
  <c r="L34" i="1"/>
  <c r="M34" i="1"/>
  <c r="N34" i="1"/>
  <c r="M34" i="2" l="1"/>
  <c r="I34" i="2"/>
  <c r="H35" i="3"/>
  <c r="N35" i="3"/>
  <c r="O9" i="3"/>
  <c r="D5" i="4" s="1"/>
  <c r="J35" i="3"/>
  <c r="L35" i="3"/>
  <c r="D35" i="3"/>
  <c r="D36" i="3" s="1"/>
  <c r="O29" i="3"/>
  <c r="D7" i="4" s="1"/>
  <c r="O20" i="3"/>
  <c r="D6" i="4" s="1"/>
  <c r="M35" i="3"/>
  <c r="I35" i="3"/>
  <c r="E35" i="3"/>
  <c r="E36" i="3" s="1"/>
  <c r="F36" i="3" s="1"/>
  <c r="G36" i="3" s="1"/>
  <c r="O34" i="3"/>
  <c r="D8" i="4" s="1"/>
  <c r="N9" i="2"/>
  <c r="J9" i="2"/>
  <c r="F9" i="2"/>
  <c r="M9" i="2"/>
  <c r="E9" i="2"/>
  <c r="M20" i="2"/>
  <c r="I20" i="2"/>
  <c r="E20" i="2"/>
  <c r="I9" i="2"/>
  <c r="K9" i="2"/>
  <c r="G9" i="2"/>
  <c r="C9" i="2"/>
  <c r="J35" i="1"/>
  <c r="F35" i="1"/>
  <c r="N35" i="1"/>
  <c r="O34" i="1"/>
  <c r="C8" i="4" s="1"/>
  <c r="E34" i="2"/>
  <c r="K35" i="1"/>
  <c r="G35" i="1"/>
  <c r="C35" i="1"/>
  <c r="C36" i="1" s="1"/>
  <c r="M35" i="1"/>
  <c r="I35" i="1"/>
  <c r="L34" i="2"/>
  <c r="D34" i="2"/>
  <c r="O16" i="2"/>
  <c r="O15" i="2"/>
  <c r="C34" i="2"/>
  <c r="O24" i="2"/>
  <c r="O12" i="2"/>
  <c r="O9" i="1"/>
  <c r="C5" i="4" s="1"/>
  <c r="L35" i="1"/>
  <c r="H35" i="1"/>
  <c r="O20" i="1"/>
  <c r="C6" i="4" s="1"/>
  <c r="O13" i="2"/>
  <c r="O29" i="1"/>
  <c r="C7" i="4" s="1"/>
  <c r="O23" i="2"/>
  <c r="O14" i="2"/>
  <c r="D35" i="1"/>
  <c r="E5" i="4" l="1"/>
  <c r="F20" i="2"/>
  <c r="O28" i="2"/>
  <c r="O32" i="2"/>
  <c r="H34" i="2"/>
  <c r="F34" i="2"/>
  <c r="K34" i="2"/>
  <c r="G34" i="2"/>
  <c r="E8" i="4"/>
  <c r="H36" i="3"/>
  <c r="I29" i="2"/>
  <c r="I35" i="2" s="1"/>
  <c r="N20" i="2"/>
  <c r="C20" i="2"/>
  <c r="J20" i="2"/>
  <c r="K29" i="2"/>
  <c r="L29" i="2"/>
  <c r="G20" i="2"/>
  <c r="L20" i="2"/>
  <c r="N29" i="2"/>
  <c r="E6" i="4"/>
  <c r="O19" i="2"/>
  <c r="D9" i="4"/>
  <c r="O7" i="2"/>
  <c r="H20" i="2"/>
  <c r="D9" i="2"/>
  <c r="H9" i="2"/>
  <c r="I36" i="3"/>
  <c r="J36" i="3" s="1"/>
  <c r="K36" i="3" s="1"/>
  <c r="L36" i="3" s="1"/>
  <c r="M36" i="3" s="1"/>
  <c r="L9" i="2"/>
  <c r="E7" i="4"/>
  <c r="C29" i="2"/>
  <c r="E29" i="2"/>
  <c r="E35" i="2" s="1"/>
  <c r="O35" i="3"/>
  <c r="O36" i="3" s="1"/>
  <c r="J29" i="2"/>
  <c r="K20" i="2"/>
  <c r="N34" i="2"/>
  <c r="M29" i="2"/>
  <c r="M35" i="2" s="1"/>
  <c r="D20" i="2"/>
  <c r="H29" i="2"/>
  <c r="O26" i="2"/>
  <c r="O8" i="2"/>
  <c r="G29" i="2"/>
  <c r="O18" i="2"/>
  <c r="O17" i="2"/>
  <c r="F29" i="2"/>
  <c r="O25" i="2"/>
  <c r="O27" i="2"/>
  <c r="D29" i="2"/>
  <c r="D36" i="1"/>
  <c r="E36" i="1" s="1"/>
  <c r="F36" i="1" s="1"/>
  <c r="G36" i="1" s="1"/>
  <c r="H36" i="1" s="1"/>
  <c r="I36" i="1" s="1"/>
  <c r="J36" i="1" s="1"/>
  <c r="K36" i="1" s="1"/>
  <c r="L36" i="1" s="1"/>
  <c r="M36" i="1" s="1"/>
  <c r="J34" i="2"/>
  <c r="O33" i="2"/>
  <c r="C9" i="4"/>
  <c r="O35" i="1"/>
  <c r="O36" i="1" s="1"/>
  <c r="O34" i="2" l="1"/>
  <c r="G35" i="2"/>
  <c r="F35" i="2"/>
  <c r="O29" i="2"/>
  <c r="N35" i="2"/>
  <c r="H35" i="2"/>
  <c r="L35" i="2"/>
  <c r="O9" i="2"/>
  <c r="E9" i="4"/>
  <c r="C35" i="2"/>
  <c r="C36" i="2" s="1"/>
  <c r="O20" i="2"/>
  <c r="K35" i="2"/>
  <c r="J35" i="2"/>
  <c r="D35" i="2"/>
  <c r="D36" i="2" l="1"/>
  <c r="E36" i="2" s="1"/>
  <c r="F36" i="2" s="1"/>
  <c r="G36" i="2" s="1"/>
  <c r="H36" i="2" s="1"/>
  <c r="I36" i="2" s="1"/>
  <c r="J36" i="2" s="1"/>
  <c r="K36" i="2" s="1"/>
  <c r="L36" i="2" s="1"/>
  <c r="M36" i="2" s="1"/>
  <c r="O35" i="2"/>
  <c r="O36" i="2" s="1"/>
</calcChain>
</file>

<file path=xl/sharedStrings.xml><?xml version="1.0" encoding="utf-8"?>
<sst xmlns="http://schemas.openxmlformats.org/spreadsheetml/2006/main" count="273" uniqueCount="66">
  <si>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</si>
  <si>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</si>
  <si>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</si>
  <si>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</si>
  <si>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</si>
  <si>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</si>
  <si>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</si>
  <si>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</si>
  <si>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</si>
  <si>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</si>
  <si>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</si>
  <si>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</si>
  <si>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</si>
  <si>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</si>
  <si>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Agosto</t>
  </si>
  <si>
    <t>Painel de Orçamento de Despesas Empresariais</t>
  </si>
  <si>
    <t>Categoria de Despesas</t>
  </si>
  <si>
    <t>Custos para funcionários</t>
  </si>
  <si>
    <t>Custos de escritório</t>
  </si>
  <si>
    <t>Custos de marketing</t>
  </si>
  <si>
    <t>Treino/Viagens</t>
  </si>
  <si>
    <t>TOTAIS</t>
  </si>
  <si>
    <t>Despesas planeadas</t>
  </si>
  <si>
    <t>Despesas reais</t>
  </si>
  <si>
    <t>Diferenças nas despesas</t>
  </si>
  <si>
    <t>ORÇAMENTO DE DESPESAS PLANEADAS</t>
  </si>
  <si>
    <t>DESPESAS MENSAIS</t>
  </si>
  <si>
    <t>Salários</t>
  </si>
  <si>
    <t>Benefícios</t>
  </si>
  <si>
    <t>Custos Totais de Funcionários</t>
  </si>
  <si>
    <t>Arrendamento de escritórios</t>
  </si>
  <si>
    <t>Gás</t>
  </si>
  <si>
    <t>Elétrico</t>
  </si>
  <si>
    <t>Água</t>
  </si>
  <si>
    <t>Telefone</t>
  </si>
  <si>
    <t>Acesso à Internet</t>
  </si>
  <si>
    <t>Material de Escritório</t>
  </si>
  <si>
    <t>Segurança</t>
  </si>
  <si>
    <t>Custos Totais de Escritório</t>
  </si>
  <si>
    <t>Alojamento de websites</t>
  </si>
  <si>
    <t>Atualizações do site</t>
  </si>
  <si>
    <t>Preparação colateral</t>
  </si>
  <si>
    <t>Impressão colateral</t>
  </si>
  <si>
    <t>Eventos de marketing</t>
  </si>
  <si>
    <t>Despesas diversas</t>
  </si>
  <si>
    <t>Custos totais de marketing</t>
  </si>
  <si>
    <t>Lições de Formação</t>
  </si>
  <si>
    <t>Custos de viagem relacionados com a formação</t>
  </si>
  <si>
    <t>Despesas mensais planeadas</t>
  </si>
  <si>
    <t>Despesas TOTAIS Planeadas</t>
  </si>
  <si>
    <t>Janeiro</t>
  </si>
  <si>
    <t>Fevereiro</t>
  </si>
  <si>
    <t>Março</t>
  </si>
  <si>
    <t>Abril</t>
  </si>
  <si>
    <t>Maio</t>
  </si>
  <si>
    <t>Junho</t>
  </si>
  <si>
    <t>Julho</t>
  </si>
  <si>
    <t>Setembro</t>
  </si>
  <si>
    <t>Outubro</t>
  </si>
  <si>
    <t>Novembro</t>
  </si>
  <si>
    <t>Dezembro</t>
  </si>
  <si>
    <t>Total</t>
  </si>
  <si>
    <t>Rótulos das filas</t>
  </si>
  <si>
    <t>Total General</t>
  </si>
  <si>
    <t>Soma das despesas reais</t>
  </si>
  <si>
    <t>DIFERENÇAS NAS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</si>
</sst>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"/>
    <numFmt numFmtId="165" formatCode="&quot;$&quot;#,##0.00"/>
    <numFmt numFmtId="166" formatCode="#,##0.00\ [$€-410]"/>
    <numFmt numFmtId="168" formatCode="#,##0.00\ [$€-816]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sz val="14"/>
      <color theme="1"/>
      <name val="Calibri"/>
      <family val="2"/>
      <scheme val="minor"/>
    </font>
    <font>
      <sz val="10"/>
      <color theme="1"/>
      <name val="Algerian"/>
      <family val="5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0"/>
      <name val="Algerian"/>
      <family val="5"/>
    </font>
    <font>
      <sz val="18"/>
      <color theme="0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76933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2" xfId="0" applyFont="1" applyFill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pivotButton="1"/>
    <xf numFmtId="0" fontId="2" fillId="3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6" fillId="0" borderId="0" xfId="0" applyFont="1"/>
    <xf numFmtId="0" fontId="5" fillId="7" borderId="0" xfId="0" applyFont="1" applyFill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0" fillId="8" borderId="0" xfId="0" applyFill="1"/>
    <xf numFmtId="0" fontId="5" fillId="7" borderId="2" xfId="0" applyFont="1" applyFill="1" applyBorder="1" applyAlignment="1">
      <alignment vertical="center"/>
    </xf>
    <xf numFmtId="0" fontId="5" fillId="7" borderId="0" xfId="0" applyFont="1" applyFill="1" applyAlignment="1">
      <alignment horizontal="left" vertical="center"/>
    </xf>
    <xf numFmtId="166" fontId="5" fillId="7" borderId="0" xfId="0" applyNumberFormat="1" applyFont="1" applyFill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Alignment="1">
      <alignment horizontal="left" vertical="center"/>
    </xf>
    <xf numFmtId="0" fontId="9" fillId="10" borderId="9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68" fontId="0" fillId="0" borderId="4" xfId="0" applyNumberFormat="1" applyBorder="1" applyAlignment="1">
      <alignment horizontal="left" vertical="center"/>
    </xf>
    <xf numFmtId="168" fontId="1" fillId="0" borderId="3" xfId="0" applyNumberFormat="1" applyFont="1" applyBorder="1" applyAlignment="1">
      <alignment horizontal="left" vertical="center"/>
    </xf>
    <xf numFmtId="168" fontId="2" fillId="2" borderId="1" xfId="0" applyNumberFormat="1" applyFont="1" applyFill="1" applyBorder="1" applyAlignment="1">
      <alignment horizontal="left" vertical="center"/>
    </xf>
    <xf numFmtId="168" fontId="5" fillId="7" borderId="1" xfId="0" applyNumberFormat="1" applyFont="1" applyFill="1" applyBorder="1" applyAlignment="1">
      <alignment vertical="center"/>
    </xf>
    <xf numFmtId="168" fontId="5" fillId="7" borderId="10" xfId="0" applyNumberFormat="1" applyFont="1" applyFill="1" applyBorder="1" applyAlignment="1">
      <alignment vertical="center"/>
    </xf>
    <xf numFmtId="168" fontId="0" fillId="0" borderId="0" xfId="0" applyNumberFormat="1"/>
    <xf numFmtId="168" fontId="5" fillId="7" borderId="0" xfId="0" applyNumberFormat="1" applyFont="1" applyFill="1" applyAlignment="1">
      <alignment horizontal="left" vertical="center"/>
    </xf>
    <xf numFmtId="168" fontId="5" fillId="7" borderId="0" xfId="0" applyNumberFormat="1" applyFont="1" applyFill="1" applyAlignment="1">
      <alignment vertical="center"/>
    </xf>
    <xf numFmtId="168" fontId="0" fillId="0" borderId="7" xfId="0" applyNumberFormat="1" applyBorder="1" applyAlignment="1">
      <alignment horizontal="left" vertical="center"/>
    </xf>
    <xf numFmtId="168" fontId="1" fillId="0" borderId="6" xfId="0" applyNumberFormat="1" applyFont="1" applyBorder="1" applyAlignment="1">
      <alignment horizontal="left" vertical="center"/>
    </xf>
    <xf numFmtId="168" fontId="2" fillId="5" borderId="1" xfId="0" applyNumberFormat="1" applyFont="1" applyFill="1" applyBorder="1" applyAlignment="1">
      <alignment horizontal="left" vertical="center"/>
    </xf>
    <xf numFmtId="168" fontId="2" fillId="3" borderId="1" xfId="0" applyNumberFormat="1" applyFont="1" applyFill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8" fontId="3" fillId="4" borderId="1" xfId="0" applyNumberFormat="1" applyFont="1" applyFill="1" applyBorder="1" applyAlignment="1">
      <alignment vertical="center"/>
    </xf>
    <xf numFmtId="168" fontId="3" fillId="4" borderId="10" xfId="0" applyNumberFormat="1" applyFont="1" applyFill="1" applyBorder="1" applyAlignment="1">
      <alignment vertical="center"/>
    </xf>
    <xf numFmtId="168" fontId="3" fillId="4" borderId="0" xfId="0" applyNumberFormat="1" applyFont="1" applyFill="1" applyAlignment="1">
      <alignment horizontal="left" vertical="center"/>
    </xf>
    <xf numFmtId="168" fontId="2" fillId="6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96"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numFmt numFmtId="168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8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8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8" formatCode="#,##0.00\ [$€-816]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6" formatCode="#,##0.00\ [$€-410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7693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[Aggiorna il budget delle spese aziendali V2.xlsx]PAINEL DE INSTRUMENTOS!PivotTable2</c:name>
    <c:fmtId val="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3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4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5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</c:pivotFmts>
    <c:plotArea>
      <c:layout>
        <c:manualLayout>
          <c:layoutTarget val="inner"/>
          <c:xMode val="edge"/>
          <c:yMode val="edge"/>
          <c:x val="0.18673202379382942"/>
          <c:y val="0.11831584129922991"/>
          <c:w val="0.48003671344734877"/>
          <c:h val="0.83324734672366751"/>
        </c:manualLayout>
      </c:layout>
      <c:pieChart>
        <c:varyColors val="1"/>
        <c:ser>
          <c:idx val="0"/>
          <c:order val="0"/>
          <c:tx>
            <c:strRef>
              <c:f>'PAINEL DE INSTRUMENTOS'!$J$4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C0D-47BC-BF43-99294BD960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C0D-47BC-BF43-99294BD960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C0D-47BC-BF43-99294BD960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3C0D-47BC-BF43-99294BD960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3C0D-47BC-BF43-99294BD960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'PAINEL DE INSTRUMENTOS'!$I$5:$I$10</c:f>
              <c:strCache>
                <c:ptCount val="5"/>
                <c:pt idx="0">
                  <c:v>Custos para funcionários</c:v>
                </c:pt>
                <c:pt idx="1">
                  <c:v>Custos de marketing</c:v>
                </c:pt>
                <c:pt idx="2">
                  <c:v>Custos de escritório</c:v>
                </c:pt>
                <c:pt idx="3">
                  <c:v>TOTAIS</c:v>
                </c:pt>
                <c:pt idx="4">
                  <c:v>Treino/Viagens</c:v>
                </c:pt>
              </c:strCache>
            </c:strRef>
          </c:cat>
          <c:val>
            <c:numRef>
              <c:f>'PAINEL DE INSTRUMENTOS'!$J$5:$J$10</c:f>
              <c:numCache>
                <c:formatCode>#,##0.00\ [$€-816]</c:formatCode>
                <c:ptCount val="5"/>
                <c:pt idx="0">
                  <c:v>659130</c:v>
                </c:pt>
                <c:pt idx="1">
                  <c:v>33159</c:v>
                </c:pt>
                <c:pt idx="2">
                  <c:v>69350</c:v>
                </c:pt>
                <c:pt idx="3">
                  <c:v>782939</c:v>
                </c:pt>
                <c:pt idx="4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91-421C-8E56-8BE3D83562B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53340</xdr:colOff>
      <xdr:row>1</xdr:row>
      <xdr:rowOff>49530</xdr:rowOff>
    </xdr:from>
    <xdr:to>
      <xdr:col>12</xdr:col>
      <xdr:colOff>594360</xdr:colOff>
      <xdr:row>12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C41C17C-066D-26EB-009D-AF28ED46B3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541020</xdr:colOff>
      <xdr:row>1</xdr:row>
      <xdr:rowOff>60960</xdr:rowOff>
    </xdr:from>
    <xdr:to>
      <xdr:col>15</xdr:col>
      <xdr:colOff>541020</xdr:colOff>
      <xdr:row>7</xdr:row>
      <xdr:rowOff>371475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Expense Category">
              <a:extLst>
                <a:ext uri="{FF2B5EF4-FFF2-40B4-BE49-F238E27FC236}">
                  <a16:creationId xmlns:a16="http://schemas.microsoft.com/office/drawing/2014/main" id="{300B4A02-610A-99CC-42CD-A36CA364AC2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xpense Category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885420" y="243840"/>
              <a:ext cx="1828800" cy="2466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17183564816" createdVersion="8" refreshedVersion="8" minRefreshableVersion="3" recordCount="5" xr:uid="{414515D9-2EC5-4ACB-908E-DE38D5CD0C73}">
  <cacheSource type="worksheet">
    <worksheetSource name="Table13"/>
  </cacheSource>
  <cacheFields count="4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5">
      <sharedItems containsSemiMixedTypes="0" containsString="0" containsNumber="1" containsInteger="1" minValue="48000" maxValue="1609630" count="5">
        <n v="1355090"/>
        <n v="138740"/>
        <n v="67800"/>
        <n v="48000"/>
        <n v="1609630"/>
      </sharedItems>
    </cacheField>
    <cacheField name="Actual Expenses" numFmtId="165">
      <sharedItems containsSemiMixedTypes="0" containsString="0" containsNumber="1" containsInteger="1" minValue="21300" maxValue="782939" count="5">
        <n v="659130"/>
        <n v="69350"/>
        <n v="33159"/>
        <n v="21300"/>
        <n v="782939"/>
      </sharedItems>
    </cacheField>
    <cacheField name="Expense Variances" numFmtId="165">
      <sharedItems containsSemiMixedTypes="0" containsString="0" containsNumber="1" containsInteger="1" minValue="26700" maxValue="826691" count="5">
        <n v="695960"/>
        <n v="69390"/>
        <n v="34641"/>
        <n v="26700"/>
        <n v="826691"/>
      </sharedItems>
    </cacheField>
  </cacheFields>
  <extLst>
    <ext xmlns:x14="http://schemas.microsoft.com/office/spreadsheetml/2009/9/main" uri="{725AE2AE-9491-48be-B2B4-4EB974FC3084}">
      <x14:pivotCacheDefinition pivotCacheId="130393501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x v="0"/>
  </r>
  <r>
    <x v="1"/>
    <x v="1"/>
    <x v="1"/>
    <x v="1"/>
  </r>
  <r>
    <x v="2"/>
    <x v="2"/>
    <x v="2"/>
    <x v="2"/>
  </r>
  <r>
    <x v="3"/>
    <x v="3"/>
    <x v="3"/>
    <x v="3"/>
  </r>
  <r>
    <x v="4"/>
    <x v="4"/>
    <x v="4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A3CABD-740E-47AC-9E48-07C06EF1963B}" name="PivotTable2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7" rowHeaderCaption="Rótulos das filas">
  <location ref="I4:J10" firstHeaderRow="1" firstDataRow="1" firstDataCol="1"/>
  <pivotFields count="4">
    <pivotField axis="axisRow" showAll="0">
      <items count="6">
        <item n="Custos para funcionários" x="0"/>
        <item n="Custos de marketing" x="2"/>
        <item n="Custos de escritório" x="1"/>
        <item n="TOTAIS" x="4"/>
        <item n="Treino/Viagens" x="3"/>
        <item t="default"/>
      </items>
    </pivotField>
    <pivotField numFmtId="165" showAll="0">
      <items count="6">
        <item x="3"/>
        <item x="2"/>
        <item x="1"/>
        <item x="0"/>
        <item x="4"/>
        <item t="default"/>
      </items>
    </pivotField>
    <pivotField dataField="1" numFmtId="165" showAll="0">
      <items count="6">
        <item x="3"/>
        <item x="2"/>
        <item x="1"/>
        <item x="0"/>
        <item x="4"/>
        <item t="default"/>
      </items>
    </pivotField>
    <pivotField numFmtId="165" showAll="0">
      <items count="6">
        <item x="3"/>
        <item x="2"/>
        <item x="1"/>
        <item x="0"/>
        <item x="4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a das despesas reais" fld="2" baseField="0" baseItem="0" numFmtId="168"/>
  </dataFields>
  <formats count="1">
    <format dxfId="78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Expense_Category" xr10:uid="{E6719E85-7963-484D-8AF2-4113AEB429F6}" sourceName="Expense Category">
  <pivotTables>
    <pivotTable tabId="4" name="PivotTable2"/>
  </pivotTables>
  <data>
    <tabular pivotCacheId="1303935014">
      <items count="5">
        <i x="0" s="1"/>
        <i x="2" s="1"/>
        <i x="1" s="1"/>
        <i x="4" s="1"/>
        <i x="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Expense Category" xr10:uid="{B8BD2370-B8A3-48FE-9EE8-06B5E6BDFE4E}" cache="Slicer_Expense_Category" caption="Expense Category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4:E9" totalsRowShown="0" headerRowDxfId="195" dataDxfId="194">
  <autoFilter ref="B4:E9" xr:uid="{AD82ACDE-2E38-4AAE-B43B-79CD1281FD9A}"/>
  <tableColumns count="4">
    <tableColumn id="1" xr3:uid="{4158C23C-190D-4DFB-9F2F-29B7E6CDF1ED}" name="Categoria de Despesas" dataDxfId="193"/>
    <tableColumn id="2" xr3:uid="{39726D7F-966A-4726-8241-5BDA50B1AA90}" name="Despesas planeadas" dataDxfId="120"/>
    <tableColumn id="3" xr3:uid="{65A19FDA-8B94-4476-AEB7-87BF43605E51}" name="Despesas reais" dataDxfId="119"/>
    <tableColumn id="4" xr3:uid="{7C47FC2B-D3D7-4A49-94A9-E88ADE378FF9}" name="Diferenças nas despesas" dataDxfId="118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5:O10" totalsRowShown="0" headerRowDxfId="192" headerRowBorderDxfId="191" tableBorderDxfId="190" totalsRowBorderDxfId="189">
  <autoFilter ref="B5:O10" xr:uid="{13C958EA-D41A-4D98-81D5-4AEEA6B7D230}"/>
  <tableColumns count="14">
    <tableColumn id="1" xr3:uid="{EF0E2AC7-F06B-45E5-9E12-2921A0DD69A7}" name="DESPESAS MENSAIS" dataDxfId="188"/>
    <tableColumn id="2" xr3:uid="{C9EB7099-0FA4-45CB-829D-C76A31FF92A8}" name="Janeiro" dataDxfId="187"/>
    <tableColumn id="3" xr3:uid="{9C17F42F-3B88-49DC-9262-701583365A43}" name="Fevereiro" dataDxfId="186"/>
    <tableColumn id="4" xr3:uid="{B4B2ACA0-F941-49DA-BC1C-1F79E361384F}" name="Março" dataDxfId="185"/>
    <tableColumn id="5" xr3:uid="{ED982536-EA9B-4E18-A9AE-1793A53C9F03}" name="Abril" dataDxfId="184"/>
    <tableColumn id="6" xr3:uid="{4E7F3F0C-ABE3-46CE-AD5D-6064B5849B9E}" name="Maio" dataDxfId="183"/>
    <tableColumn id="7" xr3:uid="{8EAED2C2-B79C-4CAD-83F0-0167F4C56C0B}" name="Junho" dataDxfId="182"/>
    <tableColumn id="8" xr3:uid="{50568D88-8757-46A7-9BA1-D8C81616774E}" name="Julho" dataDxfId="181"/>
    <tableColumn id="9" xr3:uid="{F8BEFB1E-4942-4D27-BA75-CB4C0258F0A6}" name="Agosto" dataDxfId="180"/>
    <tableColumn id="10" xr3:uid="{BFDBDC85-5392-4D52-8166-4425BB5E6DE5}" name="Setembro" dataDxfId="179"/>
    <tableColumn id="11" xr3:uid="{BF22D29D-5EEA-438B-9F49-A2D50C35326C}" name="Outubro" dataDxfId="178"/>
    <tableColumn id="12" xr3:uid="{A20AF527-8036-48A2-AF15-AB0A459DF80D}" name="Novembro" dataDxfId="177"/>
    <tableColumn id="13" xr3:uid="{AFF6B514-8E76-4741-BA5A-94E68922016F}" name="Dezembro" dataDxfId="176"/>
    <tableColumn id="14" xr3:uid="{59CDBBAF-D78D-4C62-8C29-F969832CC3F8}" name="Total" dataDxfId="175">
      <calculatedColumnFormula>SUM(Table1[[#This Row],[Janeiro]:[Dezembro]])</calculatedColumnFormula>
    </tableColumn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1:O21" totalsRowShown="0" dataDxfId="174">
  <autoFilter ref="B11:O21" xr:uid="{0D372BA6-9BB5-4F79-AF0C-5E76F260E920}"/>
  <tableColumns count="14">
    <tableColumn id="1" xr3:uid="{8F5BA9E4-D8A2-4CD4-B8F4-D867D2875A96}" name="Column1" dataDxfId="173"/>
    <tableColumn id="2" xr3:uid="{D0D0D604-C08A-4700-90DD-B1E2578BE5DB}" name="Column2" dataDxfId="117"/>
    <tableColumn id="3" xr3:uid="{D74238EE-52B4-4BB1-AF84-480C8D3F42B9}" name="Column3" dataDxfId="116"/>
    <tableColumn id="4" xr3:uid="{D43F2BBC-3249-4055-AA3B-BDD9740D00E0}" name="Column4" dataDxfId="115"/>
    <tableColumn id="5" xr3:uid="{EC6408E7-5005-4CC9-B39E-F647C659F6D0}" name="Column5" dataDxfId="114"/>
    <tableColumn id="6" xr3:uid="{C64B1171-FC6D-41CC-BA10-9E1BDBF26E0A}" name="Column6" dataDxfId="113"/>
    <tableColumn id="7" xr3:uid="{D1806E0D-BF87-4E00-AF43-ED79630D608D}" name="Column7" dataDxfId="112"/>
    <tableColumn id="8" xr3:uid="{EF73409E-BE2B-4ABD-BA40-F4BB2F60B606}" name="Column8" dataDxfId="111"/>
    <tableColumn id="9" xr3:uid="{AE2E202D-51F5-4247-B40A-435BD8DEC6B6}" name="Column9" dataDxfId="110"/>
    <tableColumn id="10" xr3:uid="{1379ADCB-08FE-4BA8-B17D-FAC7836EBDD0}" name="Column10" dataDxfId="109"/>
    <tableColumn id="11" xr3:uid="{41D7CBC5-EFBE-4791-B3EF-DB2458BC1625}" name="Column11" dataDxfId="108"/>
    <tableColumn id="12" xr3:uid="{D2FA26CF-F3EB-4833-93AE-6EBF071FD8E4}" name="Column12" dataDxfId="107"/>
    <tableColumn id="13" xr3:uid="{3AFEF25E-3365-4E17-88DB-E31537798DF7}" name="Column13" dataDxfId="106"/>
    <tableColumn id="14" xr3:uid="{ED60A214-0461-480B-95AE-70BF04DD1E84}" name="Column14" dataDxfId="105">
      <calculatedColumnFormula>SUM(Table4[[#This Row],[Column2]:[Column13]])</calculatedColumnFormula>
    </tableColumn>
  </tableColumns>
  <tableStyleInfo name="TableStyleDark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2:O30" totalsRowShown="0">
  <autoFilter ref="B22:O30" xr:uid="{22180301-E8A9-4905-8018-1D9A337464D3}"/>
  <tableColumns count="14">
    <tableColumn id="1" xr3:uid="{5AED59B5-AD72-4EF2-AB49-E280D79B2E74}" name="Column1"/>
    <tableColumn id="2" xr3:uid="{86AD3D6B-90A7-467B-B8CC-B8D207D4D740}" name="Column2" dataDxfId="104"/>
    <tableColumn id="3" xr3:uid="{DF92F65B-FFB2-4C2B-B62E-6AD20A904928}" name="Column3" dataDxfId="103"/>
    <tableColumn id="4" xr3:uid="{8CDE277E-B065-467E-836E-3077DA2F675F}" name="Column4" dataDxfId="102"/>
    <tableColumn id="5" xr3:uid="{384841C0-AB77-4A6D-9AFD-AA6763F8CB39}" name="Column5" dataDxfId="101"/>
    <tableColumn id="6" xr3:uid="{9598D637-B1E4-4E57-B1DF-C02DD440A497}" name="Column6" dataDxfId="100"/>
    <tableColumn id="7" xr3:uid="{245B55CC-780E-4EB5-9F4A-534246D38683}" name="Column7" dataDxfId="99"/>
    <tableColumn id="8" xr3:uid="{60C97827-D4A5-4C4C-9199-5734CEBE342D}" name="Column8" dataDxfId="98"/>
    <tableColumn id="9" xr3:uid="{704A19F6-DB46-487B-ABED-87C101E6843F}" name="Column9" dataDxfId="97"/>
    <tableColumn id="10" xr3:uid="{86081001-AACC-4D16-BB1D-47E3C2305AED}" name="Column10" dataDxfId="96"/>
    <tableColumn id="11" xr3:uid="{8C281E0C-C45C-4719-938F-543CAC694640}" name="Column11" dataDxfId="95"/>
    <tableColumn id="12" xr3:uid="{022EEFD2-78BD-4CCB-BEB3-352C7550CD02}" name="Column12" dataDxfId="94"/>
    <tableColumn id="13" xr3:uid="{465572D2-BC55-4AFC-B429-651C10BF0B81}" name="Column13" dataDxfId="93"/>
    <tableColumn id="14" xr3:uid="{59177CA5-CD47-438D-A5B4-013F403DC0B2}" name="Column14" dataDxfId="92">
      <calculatedColumnFormula>SUM(Table5[[#This Row],[Column2]:[Column13]])</calculatedColumnFormula>
    </tableColumn>
  </tableColumns>
  <tableStyleInfo name="TableStyleDark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1:O34" totalsRowShown="0" headerRowDxfId="172" headerRowBorderDxfId="171" tableBorderDxfId="170" totalsRowBorderDxfId="169">
  <autoFilter ref="B31:O34" xr:uid="{25CFCE0C-BF0E-4CB6-A4C5-D044072F77E8}"/>
  <tableColumns count="14">
    <tableColumn id="1" xr3:uid="{33C551D7-F83C-4F31-A0F7-369E54165716}" name="Column1"/>
    <tableColumn id="2" xr3:uid="{072C48C6-3EB6-4786-B38F-4BB206601DA2}" name="Column2" dataDxfId="91"/>
    <tableColumn id="3" xr3:uid="{8E03F429-CB46-4014-9896-C0D4707125FE}" name="Column3" dataDxfId="90"/>
    <tableColumn id="4" xr3:uid="{447311CC-5555-464C-BF5D-DCAD2E765622}" name="Column4" dataDxfId="89"/>
    <tableColumn id="5" xr3:uid="{8DF4D283-0A5F-41CA-ABC7-E607680B1A54}" name="Column5" dataDxfId="88"/>
    <tableColumn id="6" xr3:uid="{A556AD0E-9A62-4DDA-AB50-1100941F40B0}" name="Column6" dataDxfId="87"/>
    <tableColumn id="7" xr3:uid="{F6225426-6D8B-4580-A9D6-A35401D19073}" name="Column7" dataDxfId="86"/>
    <tableColumn id="8" xr3:uid="{881BE174-59D7-4573-9418-43A320F5ADF2}" name="Column8" dataDxfId="85"/>
    <tableColumn id="9" xr3:uid="{686D0123-1E78-47E5-9EFE-910C493F93E6}" name="Column9" dataDxfId="84"/>
    <tableColumn id="10" xr3:uid="{E4902EE8-A4AE-4A7C-B30A-33D2957C633F}" name="Column10" dataDxfId="83"/>
    <tableColumn id="11" xr3:uid="{A9C2C192-DB0B-4994-900D-3AB90148AC5F}" name="Column11" dataDxfId="82"/>
    <tableColumn id="12" xr3:uid="{A6A03635-0501-4F25-A7A8-35E0C9C36ECA}" name="Column12" dataDxfId="81"/>
    <tableColumn id="13" xr3:uid="{3FEFE1EC-3C40-48D4-94C3-3730731B7779}" name="Column13" dataDxfId="80"/>
    <tableColumn id="14" xr3:uid="{A18868A6-3475-4E5A-A8FB-887F0D791E80}" name="Column14" dataDxfId="79"/>
  </tableColumns>
  <tableStyleInfo name="TableStyleDark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5:O10" totalsRowShown="0" headerRowDxfId="168" headerRowBorderDxfId="167" tableBorderDxfId="166" totalsRowBorderDxfId="165">
  <autoFilter ref="B5:O10" xr:uid="{13C958EA-D41A-4D98-81D5-4AEEA6B7D230}"/>
  <tableColumns count="14">
    <tableColumn id="1" xr3:uid="{10EA8AA5-03E4-4241-BB32-C3C5E6F98CCE}" name="DESPESAS MENSAIS" dataDxfId="164"/>
    <tableColumn id="2" xr3:uid="{BD4EF577-A5B9-47A7-B135-4528D455DC3E}" name="Janeiro" dataDxfId="163"/>
    <tableColumn id="3" xr3:uid="{3CCEA33F-A256-4A77-9005-FE07072497E6}" name="Fevereiro" dataDxfId="162"/>
    <tableColumn id="4" xr3:uid="{C3B11A9F-A561-4E6B-BD4F-AEC925CF47AC}" name="Março" dataDxfId="161"/>
    <tableColumn id="5" xr3:uid="{D9C94696-3DA6-4B66-9BFF-A4B13E391E89}" name="Abril" dataDxfId="160"/>
    <tableColumn id="6" xr3:uid="{F841E6EE-98A1-46F2-914E-869915F3DB35}" name="Maio" dataDxfId="159"/>
    <tableColumn id="7" xr3:uid="{674D2E4A-8E19-4304-9AB0-ADCBA45CAB3E}" name="Junho" dataDxfId="158"/>
    <tableColumn id="8" xr3:uid="{16DF76B3-36DB-46E8-BE08-BBD2DA6E7936}" name="Julho" dataDxfId="157"/>
    <tableColumn id="9" xr3:uid="{86894ADE-CA5D-467E-8372-A3A3F708FF4F}" name="Agosto" dataDxfId="156"/>
    <tableColumn id="10" xr3:uid="{7E20B846-AD9C-4CA3-BF8E-B2282D0D2808}" name="Setembro" dataDxfId="155"/>
    <tableColumn id="11" xr3:uid="{930FF2FC-6B68-4A5D-A0A1-DBBFEC9E5862}" name="Outubro" dataDxfId="154"/>
    <tableColumn id="12" xr3:uid="{F37FA3A6-91B2-406A-B12A-84D221F78B8E}" name="Novembro" dataDxfId="153"/>
    <tableColumn id="13" xr3:uid="{EE3DD335-DC0D-4C93-90EC-0A412B28A10D}" name="Dezembro" dataDxfId="152"/>
    <tableColumn id="14" xr3:uid="{14D3771D-F2E0-4106-8C2E-D4D24A57C102}" name="Total" dataDxfId="151">
      <calculatedColumnFormula>SUM(Table18[[#This Row],[Janeiro]:[Dezembro]])</calculatedColumnFormula>
    </tableColumn>
  </tableColumns>
  <tableStyleInfo name="TableStyleDark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1:O21" totalsRowShown="0" dataDxfId="150">
  <autoFilter ref="B11:O21" xr:uid="{0D372BA6-9BB5-4F79-AF0C-5E76F260E920}"/>
  <tableColumns count="14">
    <tableColumn id="1" xr3:uid="{07C41507-6CCD-42CA-9490-A252F097DA6D}" name="Column1" dataDxfId="149"/>
    <tableColumn id="2" xr3:uid="{7572B761-BDA1-498A-A01F-871EB84D29E2}" name="Column2" dataDxfId="77"/>
    <tableColumn id="3" xr3:uid="{64641199-B5F3-4E57-A192-FBC54E5ADD19}" name="Column3" dataDxfId="76"/>
    <tableColumn id="4" xr3:uid="{B989C0D5-81A6-45A5-8314-A78E1B563236}" name="Column4" dataDxfId="75"/>
    <tableColumn id="5" xr3:uid="{D222CA76-EF89-48CF-B9AE-079A879F7FA4}" name="Column5" dataDxfId="74"/>
    <tableColumn id="6" xr3:uid="{4F6738A9-77A9-443B-AEA8-85F09545A805}" name="Column6" dataDxfId="73"/>
    <tableColumn id="7" xr3:uid="{FF8D92A1-1945-413C-B58E-04999F866139}" name="Column7" dataDxfId="72"/>
    <tableColumn id="8" xr3:uid="{0FA31961-84EC-4F9F-826D-4730CCBC0E2B}" name="Column8" dataDxfId="71"/>
    <tableColumn id="9" xr3:uid="{0B4B3A43-4E1A-4E4A-977B-E67ED7A5557D}" name="Column9" dataDxfId="70"/>
    <tableColumn id="10" xr3:uid="{7FD35C6C-EDBF-41CE-8CB3-D8AEB9F195B7}" name="Column10" dataDxfId="69"/>
    <tableColumn id="11" xr3:uid="{383694E2-3EFE-4AD3-8890-FA9C7A5108FC}" name="Column11" dataDxfId="68"/>
    <tableColumn id="12" xr3:uid="{2EAC9687-217F-4E25-8C4F-0DEFA1DFAD84}" name="Column12" dataDxfId="67"/>
    <tableColumn id="13" xr3:uid="{169BFDE0-04F6-4172-AB3E-26B2E64985D3}" name="Column13" dataDxfId="66"/>
    <tableColumn id="14" xr3:uid="{0B63110D-21A6-434F-933A-E9ED4FAC9B81}" name="Column14" dataDxfId="65">
      <calculatedColumnFormula>SUM(Table49[[#This Row],[Column2]:[Column13]])</calculatedColumnFormula>
    </tableColumn>
  </tableColumns>
  <tableStyleInfo name="TableStyleDark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2:O30" totalsRowShown="0">
  <autoFilter ref="B22:O30" xr:uid="{22180301-E8A9-4905-8018-1D9A337464D3}"/>
  <tableColumns count="14">
    <tableColumn id="1" xr3:uid="{369B3A1B-32AE-42B2-94B2-093DB7D4CB91}" name="Column1"/>
    <tableColumn id="2" xr3:uid="{E8F888B1-B206-4B62-9D0E-81822B08FE3D}" name="Column2" dataDxfId="64"/>
    <tableColumn id="3" xr3:uid="{DE6B6283-4D36-4EB1-9AA6-75FD3938D481}" name="Column3" dataDxfId="63"/>
    <tableColumn id="4" xr3:uid="{B45EC318-FACD-45D2-B147-088E9A05090B}" name="Column4" dataDxfId="62"/>
    <tableColumn id="5" xr3:uid="{1F43AB07-5D18-4533-A2EF-4E141A1667BB}" name="Column5" dataDxfId="61"/>
    <tableColumn id="6" xr3:uid="{59E17852-B1A5-4C04-A200-13752BE29F74}" name="Column6" dataDxfId="60"/>
    <tableColumn id="7" xr3:uid="{D0C88BF0-C8C2-4755-A7EA-41C4A74948CC}" name="Column7" dataDxfId="59"/>
    <tableColumn id="8" xr3:uid="{F0B8406E-1806-4BFA-B484-51D446417247}" name="Column8" dataDxfId="58"/>
    <tableColumn id="9" xr3:uid="{D3A77B50-CFD1-4918-AE9C-FD1E4A036A3C}" name="Column9" dataDxfId="57"/>
    <tableColumn id="10" xr3:uid="{64D341A3-2143-4C88-B293-0E78A00F3D6A}" name="Column10" dataDxfId="56"/>
    <tableColumn id="11" xr3:uid="{C64ECE1E-3B8A-4F24-B062-FD0D4C843408}" name="Column11" dataDxfId="55"/>
    <tableColumn id="12" xr3:uid="{8515078B-C939-49B3-9171-31BD38BF74CE}" name="Column12" dataDxfId="54"/>
    <tableColumn id="13" xr3:uid="{15283768-B059-4ECD-B921-3C400D868B23}" name="Column13" dataDxfId="53"/>
    <tableColumn id="14" xr3:uid="{71A897A8-73B0-4A8C-9E5B-AF12A7C2DA70}" name="Column14" dataDxfId="52">
      <calculatedColumnFormula>SUM(Table510[[#This Row],[Column2]:[Column13]])</calculatedColumnFormula>
    </tableColumn>
  </tableColumns>
  <tableStyleInfo name="TableStyleDark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1:O34" totalsRowShown="0" headerRowDxfId="148" headerRowBorderDxfId="147" tableBorderDxfId="146" totalsRowBorderDxfId="145">
  <autoFilter ref="B31:O34" xr:uid="{25CFCE0C-BF0E-4CB6-A4C5-D044072F77E8}"/>
  <tableColumns count="14">
    <tableColumn id="1" xr3:uid="{FFA19A06-0032-4650-9B1A-72FB0F797E41}" name="Column1"/>
    <tableColumn id="2" xr3:uid="{0B33C2AA-E36C-4772-ABEA-5E6611156D24}" name="Column2" dataDxfId="51"/>
    <tableColumn id="3" xr3:uid="{881DBCE2-C24C-470E-AD38-DDDBD519EA7C}" name="Column3" dataDxfId="50"/>
    <tableColumn id="4" xr3:uid="{3DC7A485-5D10-44FA-BC6D-B0ED4AEBF2B4}" name="Column4" dataDxfId="49"/>
    <tableColumn id="5" xr3:uid="{45F208AB-1D44-44AE-BC34-69A93F382161}" name="Column5" dataDxfId="48"/>
    <tableColumn id="6" xr3:uid="{7130EA65-9716-42F8-839E-83E0A68A925C}" name="Column6" dataDxfId="47"/>
    <tableColumn id="7" xr3:uid="{B0F65040-0B62-4DD0-B353-530D2C69AC24}" name="Column7" dataDxfId="46"/>
    <tableColumn id="8" xr3:uid="{9C60A9D4-891A-42A9-81F9-54FF25F357AD}" name="Column8" dataDxfId="45"/>
    <tableColumn id="9" xr3:uid="{14CD8D36-B00C-43BB-B1E6-BFC086277009}" name="Column9" dataDxfId="44"/>
    <tableColumn id="10" xr3:uid="{F0D2CBB8-5810-4027-ADF1-4FCE5A2BBEA5}" name="Column10" dataDxfId="43"/>
    <tableColumn id="11" xr3:uid="{D862C328-B440-4161-9B34-7B88EC9EFD9B}" name="Column11" dataDxfId="42"/>
    <tableColumn id="12" xr3:uid="{543A36B8-0AE9-4637-95B9-2B937ADC636E}" name="Column12" dataDxfId="41"/>
    <tableColumn id="13" xr3:uid="{B2F1D778-14BE-4A1E-82BB-A5DEA77A8939}" name="Column13" dataDxfId="40"/>
    <tableColumn id="14" xr3:uid="{9317FEAB-C405-47AA-BBF1-6A31FDC2E128}" name="Column14" dataDxfId="39"/>
  </tableColumns>
  <tableStyleInfo name="TableStyleDark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5:O10" totalsRowShown="0" headerRowDxfId="144" headerRowBorderDxfId="143" tableBorderDxfId="142" totalsRowBorderDxfId="141">
  <autoFilter ref="B5:O10" xr:uid="{13C958EA-D41A-4D98-81D5-4AEEA6B7D230}"/>
  <tableColumns count="14">
    <tableColumn id="1" xr3:uid="{AFCDFB95-6225-45DB-9901-9A4D8BED3F77}" name="DESPESAS MENSAIS" dataDxfId="140"/>
    <tableColumn id="2" xr3:uid="{5029179C-BD72-4BA5-9655-BFEA79618CA7}" name="Janeiro" dataDxfId="139"/>
    <tableColumn id="3" xr3:uid="{C0E87A5C-0EF0-4A55-8694-B5F354FB58CD}" name="Fevereiro" dataDxfId="138"/>
    <tableColumn id="4" xr3:uid="{EAFD3D4E-2184-4F3E-8FFC-4683252B6EE5}" name="Março" dataDxfId="137"/>
    <tableColumn id="5" xr3:uid="{61582322-B1A5-4880-94E4-FDB3A83F0E82}" name="Abril" dataDxfId="136"/>
    <tableColumn id="6" xr3:uid="{6A5A03DA-293E-4324-A6A2-7F93E4382F73}" name="Maio" dataDxfId="135"/>
    <tableColumn id="7" xr3:uid="{9D3B9F8F-3352-4A83-B77C-A51D2CE6AA98}" name="Junho" dataDxfId="134"/>
    <tableColumn id="8" xr3:uid="{E4EBDBF4-EFB5-4F00-ADB5-22B42D6EED66}" name="Julho" dataDxfId="133"/>
    <tableColumn id="9" xr3:uid="{08BB04B9-9472-4015-A822-28176A633C8F}" name="Agosto" dataDxfId="132"/>
    <tableColumn id="10" xr3:uid="{3C37888A-4E24-45FC-A6B1-1117C33ACDD4}" name="Setembro" dataDxfId="131"/>
    <tableColumn id="11" xr3:uid="{226E90D1-8C3C-45C6-9094-F38F16C23ED9}" name="Outubro" dataDxfId="130"/>
    <tableColumn id="12" xr3:uid="{37D7AE48-8693-4F72-A58A-DAF6FBB364A6}" name="Novembro" dataDxfId="129"/>
    <tableColumn id="13" xr3:uid="{29492751-F03B-419F-8015-06F67ED964C0}" name="Dezembro" dataDxfId="128"/>
    <tableColumn id="14" xr3:uid="{8B9AB02B-BE7D-4177-BE35-C10A01AC034E}" name="Total" dataDxfId="127">
      <calculatedColumnFormula>SUM(Table1812[[#This Row],[Janeiro]:[Dezembro]])</calculatedColumnFormula>
    </tableColumn>
  </tableColumns>
  <tableStyleInfo name="TableStyleDark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1:O21" totalsRowShown="0" dataDxfId="126">
  <autoFilter ref="B11:O21" xr:uid="{0D372BA6-9BB5-4F79-AF0C-5E76F260E920}"/>
  <tableColumns count="14">
    <tableColumn id="1" xr3:uid="{05413BC8-1D17-4D61-BEFE-CBE27B907A76}" name="Column1" dataDxfId="125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Dark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2:O29" totalsRowShown="0">
  <autoFilter ref="B22:O29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Dark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1:O34" totalsRowShown="0" headerRowDxfId="124" headerRowBorderDxfId="123" tableBorderDxfId="122" totalsRowBorderDxfId="121">
  <autoFilter ref="B31:O34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2:K10"/>
  <sheetViews>
    <sheetView showGridLines="0" tabSelected="1" zoomScaleNormal="100" workbookViewId="0">
      <selection activeCell="E10" sqref="E10"/>
    </sheetView>
  </sheetViews>
  <sheetFormatPr baseColWidth="10" defaultColWidth="8.88671875" defaultRowHeight="14.4" x14ac:dyDescent="0.3"/>
  <cols>
    <col min="1" max="1" width="2.6640625" customWidth="1"/>
    <col min="2" max="3" width="27.77734375" customWidth="1"/>
    <col min="4" max="4" width="23.33203125" customWidth="1"/>
    <col min="5" max="5" width="27.77734375" customWidth="1"/>
    <col min="9" max="9" width="20" customWidth="1"/>
    <col min="10" max="10" width="24.44140625" customWidth="1"/>
  </cols>
  <sheetData>
    <row r="2" spans="2:11" ht="34.200000000000003" customHeight="1" x14ac:dyDescent="0.3">
      <c r="B2" s="28" t="s">
        <v>15</v>
      </c>
      <c r="C2" s="25"/>
      <c r="D2" s="25"/>
      <c r="E2" s="25"/>
    </row>
    <row r="4" spans="2:11" s="10" customFormat="1" ht="31.2" customHeight="1" x14ac:dyDescent="0.3">
      <c r="B4" s="11" t="s">
        <v>16</v>
      </c>
      <c r="C4" s="11" t="s">
        <v>22</v>
      </c>
      <c r="D4" s="11" t="s">
        <v>23</v>
      </c>
      <c r="E4" s="11" t="s">
        <v>24</v>
      </c>
      <c r="G4"/>
      <c r="I4" s="12" t="s">
        <v>62</v>
      </c>
      <c r="J4" t="s">
        <v>64</v>
      </c>
      <c r="K4"/>
    </row>
    <row r="5" spans="2:11" ht="30" customHeight="1" x14ac:dyDescent="0.3">
      <c r="B5" s="11" t="s">
        <v>17</v>
      </c>
      <c r="C5" s="29">
        <f>+'Custos Totais de Escritório'!O9</f>
        <v>1355090</v>
      </c>
      <c r="D5" s="29">
        <f>+'DESPESAS REAIS'!O9</f>
        <v>659130</v>
      </c>
      <c r="E5" s="29">
        <f>+C5-D5</f>
        <v>695960</v>
      </c>
      <c r="I5" s="7" t="s">
        <v>17</v>
      </c>
      <c r="J5" s="37">
        <v>659130</v>
      </c>
    </row>
    <row r="6" spans="2:11" ht="30" customHeight="1" x14ac:dyDescent="0.3">
      <c r="B6" s="11" t="s">
        <v>18</v>
      </c>
      <c r="C6" s="29">
        <f>+'Custos Totais de Escritório'!O20</f>
        <v>138740</v>
      </c>
      <c r="D6" s="29">
        <f>+'DESPESAS REAIS'!O20</f>
        <v>69350</v>
      </c>
      <c r="E6" s="29">
        <f t="shared" ref="E6:E8" si="0">+C6-D6</f>
        <v>69390</v>
      </c>
      <c r="I6" s="7" t="s">
        <v>19</v>
      </c>
      <c r="J6" s="37">
        <v>33159</v>
      </c>
    </row>
    <row r="7" spans="2:11" ht="30" customHeight="1" x14ac:dyDescent="0.3">
      <c r="B7" s="11" t="s">
        <v>19</v>
      </c>
      <c r="C7" s="29">
        <f>+'Custos Totais de Escritório'!O29</f>
        <v>67800</v>
      </c>
      <c r="D7" s="29">
        <f>+'DESPESAS REAIS'!O29</f>
        <v>33159</v>
      </c>
      <c r="E7" s="29">
        <f t="shared" si="0"/>
        <v>34641</v>
      </c>
      <c r="I7" s="7" t="s">
        <v>18</v>
      </c>
      <c r="J7" s="37">
        <v>69350</v>
      </c>
    </row>
    <row r="8" spans="2:11" ht="30" customHeight="1" x14ac:dyDescent="0.3">
      <c r="B8" s="11" t="s">
        <v>20</v>
      </c>
      <c r="C8" s="29">
        <f>+'Custos Totais de Escritório'!O34</f>
        <v>48000</v>
      </c>
      <c r="D8" s="29">
        <f>+'DESPESAS REAIS'!O34</f>
        <v>21300</v>
      </c>
      <c r="E8" s="29">
        <f t="shared" si="0"/>
        <v>26700</v>
      </c>
      <c r="I8" s="7" t="s">
        <v>21</v>
      </c>
      <c r="J8" s="37">
        <v>782939</v>
      </c>
    </row>
    <row r="9" spans="2:11" ht="30" customHeight="1" x14ac:dyDescent="0.3">
      <c r="B9" s="11" t="s">
        <v>21</v>
      </c>
      <c r="C9" s="29">
        <f>SUM(C5:C8)</f>
        <v>1609630</v>
      </c>
      <c r="D9" s="29">
        <f t="shared" ref="D9:E9" si="1">SUM(D5:D8)</f>
        <v>782939</v>
      </c>
      <c r="E9" s="29">
        <f t="shared" si="1"/>
        <v>826691</v>
      </c>
      <c r="I9" s="7" t="s">
        <v>20</v>
      </c>
      <c r="J9" s="37">
        <v>21300</v>
      </c>
    </row>
    <row r="10" spans="2:11" x14ac:dyDescent="0.3">
      <c r="I10" s="7" t="s">
        <v>63</v>
      </c>
      <c r="J10" s="37">
        <v>1565878</v>
      </c>
    </row>
  </sheetData>
  <mergeCells count="1">
    <mergeCell ref="B2:E2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36"/>
  <sheetViews>
    <sheetView showGridLines="0" topLeftCell="A16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42.21875" customWidth="1"/>
    <col min="3" max="9" width="13.21875" customWidth="1"/>
    <col min="10" max="15" width="14.44140625" customWidth="1"/>
  </cols>
  <sheetData>
    <row r="2" spans="2:15" x14ac:dyDescent="0.3">
      <c r="B2" s="26" t="s">
        <v>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2:15" ht="19.2" customHeight="1" x14ac:dyDescent="0.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</row>
    <row r="4" spans="2:15" s="19" customFormat="1" x14ac:dyDescent="0.3"/>
    <row r="5" spans="2:15" s="7" customFormat="1" ht="28.2" customHeight="1" x14ac:dyDescent="0.3">
      <c r="B5" s="18" t="s">
        <v>26</v>
      </c>
      <c r="C5" s="30" t="s">
        <v>50</v>
      </c>
      <c r="D5" s="30" t="s">
        <v>51</v>
      </c>
      <c r="E5" s="30" t="s">
        <v>52</v>
      </c>
      <c r="F5" s="30" t="s">
        <v>53</v>
      </c>
      <c r="G5" s="30" t="s">
        <v>54</v>
      </c>
      <c r="H5" s="30" t="s">
        <v>55</v>
      </c>
      <c r="I5" s="30" t="s">
        <v>56</v>
      </c>
      <c r="J5" s="30" t="s">
        <v>14</v>
      </c>
      <c r="K5" s="30" t="s">
        <v>57</v>
      </c>
      <c r="L5" s="30" t="s">
        <v>58</v>
      </c>
      <c r="M5" s="30" t="s">
        <v>59</v>
      </c>
      <c r="N5" s="30" t="s">
        <v>60</v>
      </c>
      <c r="O5" s="31" t="s">
        <v>61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2:15" s="3" customFormat="1" ht="18.600000000000001" customHeight="1" x14ac:dyDescent="0.3">
      <c r="B7" s="2" t="s">
        <v>27</v>
      </c>
      <c r="C7" s="32">
        <v>85000</v>
      </c>
      <c r="D7" s="32">
        <v>85000</v>
      </c>
      <c r="E7" s="32">
        <v>85000</v>
      </c>
      <c r="F7" s="32">
        <v>87500</v>
      </c>
      <c r="G7" s="32">
        <v>87500</v>
      </c>
      <c r="H7" s="32">
        <v>87500</v>
      </c>
      <c r="I7" s="32">
        <v>87500</v>
      </c>
      <c r="J7" s="32">
        <v>92400</v>
      </c>
      <c r="K7" s="32">
        <v>92400</v>
      </c>
      <c r="L7" s="32">
        <v>92400</v>
      </c>
      <c r="M7" s="32">
        <v>92400</v>
      </c>
      <c r="N7" s="32">
        <v>92400</v>
      </c>
      <c r="O7" s="33">
        <f>SUM(Table1[[#This Row],[Janeiro]:[Dezembro]])</f>
        <v>1067000</v>
      </c>
    </row>
    <row r="8" spans="2:15" s="3" customFormat="1" ht="18.600000000000001" customHeight="1" x14ac:dyDescent="0.3">
      <c r="B8" s="2" t="s">
        <v>28</v>
      </c>
      <c r="C8" s="32">
        <v>22950</v>
      </c>
      <c r="D8" s="32">
        <v>22950</v>
      </c>
      <c r="E8" s="32">
        <v>22950</v>
      </c>
      <c r="F8" s="32">
        <v>23625</v>
      </c>
      <c r="G8" s="32">
        <v>23625</v>
      </c>
      <c r="H8" s="32">
        <v>23625</v>
      </c>
      <c r="I8" s="32">
        <v>23625</v>
      </c>
      <c r="J8" s="32">
        <v>24948</v>
      </c>
      <c r="K8" s="32">
        <v>24948</v>
      </c>
      <c r="L8" s="32">
        <v>24948</v>
      </c>
      <c r="M8" s="32">
        <v>24948</v>
      </c>
      <c r="N8" s="32">
        <v>24948</v>
      </c>
      <c r="O8" s="33">
        <f>SUM(Table1[[#This Row],[Janeiro]:[Dezembro]])</f>
        <v>288090</v>
      </c>
    </row>
    <row r="9" spans="2:15" ht="18.600000000000001" customHeight="1" x14ac:dyDescent="0.3">
      <c r="B9" s="1" t="s">
        <v>29</v>
      </c>
      <c r="C9" s="34">
        <f t="shared" ref="C9:O9" si="0">SUBTOTAL(109,C7:C8)</f>
        <v>107950</v>
      </c>
      <c r="D9" s="34">
        <f t="shared" si="0"/>
        <v>107950</v>
      </c>
      <c r="E9" s="34">
        <f t="shared" si="0"/>
        <v>107950</v>
      </c>
      <c r="F9" s="34">
        <f t="shared" si="0"/>
        <v>111125</v>
      </c>
      <c r="G9" s="34">
        <f t="shared" si="0"/>
        <v>111125</v>
      </c>
      <c r="H9" s="34">
        <f t="shared" si="0"/>
        <v>111125</v>
      </c>
      <c r="I9" s="34">
        <f t="shared" si="0"/>
        <v>111125</v>
      </c>
      <c r="J9" s="34">
        <f t="shared" si="0"/>
        <v>117348</v>
      </c>
      <c r="K9" s="34">
        <f t="shared" si="0"/>
        <v>117348</v>
      </c>
      <c r="L9" s="34">
        <f t="shared" si="0"/>
        <v>117348</v>
      </c>
      <c r="M9" s="34">
        <f t="shared" si="0"/>
        <v>117348</v>
      </c>
      <c r="N9" s="34">
        <f t="shared" si="0"/>
        <v>117348</v>
      </c>
      <c r="O9" s="34">
        <f t="shared" si="0"/>
        <v>1355090</v>
      </c>
    </row>
    <row r="10" spans="2:15" s="16" customFormat="1" ht="18.600000000000001" customHeight="1" x14ac:dyDescent="0.3">
      <c r="B10" s="20" t="s">
        <v>18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6">
        <f>SUM(Table1[[#This Row],[Janeiro]:[Dezembro]])</f>
        <v>0</v>
      </c>
    </row>
    <row r="11" spans="2:15" ht="18.600000000000001" hidden="1" customHeight="1" x14ac:dyDescent="0.3">
      <c r="B11" t="s">
        <v>13</v>
      </c>
      <c r="C11" s="37" t="s">
        <v>12</v>
      </c>
      <c r="D11" s="37" t="s">
        <v>11</v>
      </c>
      <c r="E11" s="37" t="s">
        <v>10</v>
      </c>
      <c r="F11" s="37" t="s">
        <v>9</v>
      </c>
      <c r="G11" s="37" t="s">
        <v>8</v>
      </c>
      <c r="H11" s="37" t="s">
        <v>7</v>
      </c>
      <c r="I11" s="37" t="s">
        <v>6</v>
      </c>
      <c r="J11" s="37" t="s">
        <v>5</v>
      </c>
      <c r="K11" s="37" t="s">
        <v>4</v>
      </c>
      <c r="L11" s="37" t="s">
        <v>3</v>
      </c>
      <c r="M11" s="37" t="s">
        <v>2</v>
      </c>
      <c r="N11" s="37" t="s">
        <v>1</v>
      </c>
      <c r="O11" s="37" t="s">
        <v>0</v>
      </c>
    </row>
    <row r="12" spans="2:15" s="3" customFormat="1" ht="18.600000000000001" customHeight="1" x14ac:dyDescent="0.3">
      <c r="B12" s="2" t="s">
        <v>30</v>
      </c>
      <c r="C12" s="32">
        <v>9800</v>
      </c>
      <c r="D12" s="32">
        <v>9800</v>
      </c>
      <c r="E12" s="32">
        <v>9800</v>
      </c>
      <c r="F12" s="32">
        <v>9800</v>
      </c>
      <c r="G12" s="32">
        <v>9800</v>
      </c>
      <c r="H12" s="32">
        <v>9800</v>
      </c>
      <c r="I12" s="32">
        <v>9800</v>
      </c>
      <c r="J12" s="32">
        <v>9800</v>
      </c>
      <c r="K12" s="32">
        <v>9800</v>
      </c>
      <c r="L12" s="32">
        <v>9800</v>
      </c>
      <c r="M12" s="32">
        <v>9800</v>
      </c>
      <c r="N12" s="32">
        <v>9800</v>
      </c>
      <c r="O12" s="33">
        <f>SUM(Table4[[#This Row],[Column2]:[Column13]])</f>
        <v>117600</v>
      </c>
    </row>
    <row r="13" spans="2:15" s="3" customFormat="1" ht="18.600000000000001" customHeight="1" x14ac:dyDescent="0.3">
      <c r="B13" s="2" t="s">
        <v>31</v>
      </c>
      <c r="C13" s="32"/>
      <c r="D13" s="32">
        <v>400</v>
      </c>
      <c r="E13" s="32">
        <v>400</v>
      </c>
      <c r="F13" s="32">
        <v>100</v>
      </c>
      <c r="G13" s="32">
        <v>100</v>
      </c>
      <c r="H13" s="32">
        <v>100</v>
      </c>
      <c r="I13" s="32">
        <v>100</v>
      </c>
      <c r="J13" s="32">
        <v>100</v>
      </c>
      <c r="K13" s="32">
        <v>100</v>
      </c>
      <c r="L13" s="32">
        <v>100</v>
      </c>
      <c r="M13" s="32">
        <v>400</v>
      </c>
      <c r="N13" s="32">
        <v>400</v>
      </c>
      <c r="O13" s="33">
        <f>SUM(Table4[[#This Row],[Column2]:[Column13]])</f>
        <v>2300</v>
      </c>
    </row>
    <row r="14" spans="2:15" s="3" customFormat="1" ht="18.600000000000001" customHeight="1" x14ac:dyDescent="0.3">
      <c r="B14" s="2" t="s">
        <v>32</v>
      </c>
      <c r="C14" s="32">
        <v>300</v>
      </c>
      <c r="D14" s="32">
        <v>300</v>
      </c>
      <c r="E14" s="32">
        <v>300</v>
      </c>
      <c r="F14" s="32">
        <v>300</v>
      </c>
      <c r="G14" s="32">
        <v>300</v>
      </c>
      <c r="H14" s="32">
        <v>300</v>
      </c>
      <c r="I14" s="32">
        <v>300</v>
      </c>
      <c r="J14" s="32">
        <v>300</v>
      </c>
      <c r="K14" s="32">
        <v>300</v>
      </c>
      <c r="L14" s="32">
        <v>300</v>
      </c>
      <c r="M14" s="32">
        <v>300</v>
      </c>
      <c r="N14" s="32">
        <v>300</v>
      </c>
      <c r="O14" s="33">
        <f>SUM(Table4[[#This Row],[Column2]:[Column13]])</f>
        <v>3600</v>
      </c>
    </row>
    <row r="15" spans="2:15" s="3" customFormat="1" ht="18.600000000000001" customHeight="1" x14ac:dyDescent="0.3">
      <c r="B15" s="2" t="s">
        <v>33</v>
      </c>
      <c r="C15" s="32">
        <v>40</v>
      </c>
      <c r="D15" s="32">
        <v>40</v>
      </c>
      <c r="E15" s="32">
        <v>40</v>
      </c>
      <c r="F15" s="32">
        <v>40</v>
      </c>
      <c r="G15" s="32">
        <v>40</v>
      </c>
      <c r="H15" s="32">
        <v>40</v>
      </c>
      <c r="I15" s="32">
        <v>40</v>
      </c>
      <c r="J15" s="32">
        <v>40</v>
      </c>
      <c r="K15" s="32">
        <v>40</v>
      </c>
      <c r="L15" s="32">
        <v>40</v>
      </c>
      <c r="M15" s="32">
        <v>40</v>
      </c>
      <c r="N15" s="32">
        <v>40</v>
      </c>
      <c r="O15" s="33">
        <f>SUM(Table4[[#This Row],[Column2]:[Column13]])</f>
        <v>480</v>
      </c>
    </row>
    <row r="16" spans="2:15" s="3" customFormat="1" ht="18.600000000000001" customHeight="1" x14ac:dyDescent="0.3">
      <c r="B16" s="2" t="s">
        <v>34</v>
      </c>
      <c r="C16" s="32">
        <v>250</v>
      </c>
      <c r="D16" s="32">
        <v>250</v>
      </c>
      <c r="E16" s="32">
        <v>250</v>
      </c>
      <c r="F16" s="32">
        <v>250</v>
      </c>
      <c r="G16" s="32">
        <v>250</v>
      </c>
      <c r="H16" s="32">
        <v>250</v>
      </c>
      <c r="I16" s="32">
        <v>250</v>
      </c>
      <c r="J16" s="32">
        <v>250</v>
      </c>
      <c r="K16" s="32">
        <v>250</v>
      </c>
      <c r="L16" s="32">
        <v>250</v>
      </c>
      <c r="M16" s="32">
        <v>250</v>
      </c>
      <c r="N16" s="32">
        <v>250</v>
      </c>
      <c r="O16" s="33">
        <f>SUM(Table4[[#This Row],[Column2]:[Column13]])</f>
        <v>3000</v>
      </c>
    </row>
    <row r="17" spans="2:15" s="3" customFormat="1" ht="18.600000000000001" customHeight="1" x14ac:dyDescent="0.3">
      <c r="B17" s="2" t="s">
        <v>35</v>
      </c>
      <c r="C17" s="32">
        <v>180</v>
      </c>
      <c r="D17" s="32">
        <v>180</v>
      </c>
      <c r="E17" s="32">
        <v>180</v>
      </c>
      <c r="F17" s="32">
        <v>180</v>
      </c>
      <c r="G17" s="32">
        <v>180</v>
      </c>
      <c r="H17" s="32">
        <v>180</v>
      </c>
      <c r="I17" s="32">
        <v>180</v>
      </c>
      <c r="J17" s="32">
        <v>180</v>
      </c>
      <c r="K17" s="32">
        <v>180</v>
      </c>
      <c r="L17" s="32">
        <v>180</v>
      </c>
      <c r="M17" s="32">
        <v>180</v>
      </c>
      <c r="N17" s="32">
        <v>180</v>
      </c>
      <c r="O17" s="33">
        <f>SUM(Table4[[#This Row],[Column2]:[Column13]])</f>
        <v>2160</v>
      </c>
    </row>
    <row r="18" spans="2:15" s="3" customFormat="1" ht="18.600000000000001" customHeight="1" x14ac:dyDescent="0.3">
      <c r="B18" s="2" t="s">
        <v>36</v>
      </c>
      <c r="C18" s="32">
        <v>200</v>
      </c>
      <c r="D18" s="32">
        <v>200</v>
      </c>
      <c r="E18" s="32">
        <v>200</v>
      </c>
      <c r="F18" s="32">
        <v>200</v>
      </c>
      <c r="G18" s="32">
        <v>200</v>
      </c>
      <c r="H18" s="32">
        <v>200</v>
      </c>
      <c r="I18" s="32">
        <v>200</v>
      </c>
      <c r="J18" s="32">
        <v>200</v>
      </c>
      <c r="K18" s="32">
        <v>200</v>
      </c>
      <c r="L18" s="32">
        <v>200</v>
      </c>
      <c r="M18" s="32">
        <v>200</v>
      </c>
      <c r="N18" s="32">
        <v>200</v>
      </c>
      <c r="O18" s="33">
        <f>SUM(Table4[[#This Row],[Column2]:[Column13]])</f>
        <v>2400</v>
      </c>
    </row>
    <row r="19" spans="2:15" s="3" customFormat="1" ht="18.600000000000001" customHeight="1" x14ac:dyDescent="0.3">
      <c r="B19" s="2" t="s">
        <v>37</v>
      </c>
      <c r="C19" s="32">
        <v>600</v>
      </c>
      <c r="D19" s="32">
        <v>600</v>
      </c>
      <c r="E19" s="32">
        <v>600</v>
      </c>
      <c r="F19" s="32">
        <v>600</v>
      </c>
      <c r="G19" s="32">
        <v>600</v>
      </c>
      <c r="H19" s="32">
        <v>600</v>
      </c>
      <c r="I19" s="32">
        <v>600</v>
      </c>
      <c r="J19" s="32">
        <v>600</v>
      </c>
      <c r="K19" s="32">
        <v>600</v>
      </c>
      <c r="L19" s="32">
        <v>600</v>
      </c>
      <c r="M19" s="32">
        <v>600</v>
      </c>
      <c r="N19" s="32">
        <v>600</v>
      </c>
      <c r="O19" s="33">
        <f>SUM(Table4[[#This Row],[Column2]:[Column13]])</f>
        <v>7200</v>
      </c>
    </row>
    <row r="20" spans="2:15" ht="18.600000000000001" customHeight="1" x14ac:dyDescent="0.3">
      <c r="B20" s="1" t="s">
        <v>38</v>
      </c>
      <c r="C20" s="34">
        <f t="shared" ref="C20:N20" si="1">SUBTOTAL(109,C12:C19)</f>
        <v>11370</v>
      </c>
      <c r="D20" s="34">
        <f t="shared" si="1"/>
        <v>11770</v>
      </c>
      <c r="E20" s="34">
        <f t="shared" si="1"/>
        <v>11770</v>
      </c>
      <c r="F20" s="34">
        <f t="shared" si="1"/>
        <v>11470</v>
      </c>
      <c r="G20" s="34">
        <f t="shared" si="1"/>
        <v>11470</v>
      </c>
      <c r="H20" s="34">
        <f t="shared" si="1"/>
        <v>11470</v>
      </c>
      <c r="I20" s="34">
        <f t="shared" si="1"/>
        <v>11470</v>
      </c>
      <c r="J20" s="34">
        <f t="shared" si="1"/>
        <v>11470</v>
      </c>
      <c r="K20" s="34">
        <f t="shared" si="1"/>
        <v>11470</v>
      </c>
      <c r="L20" s="34">
        <f t="shared" si="1"/>
        <v>11470</v>
      </c>
      <c r="M20" s="34">
        <f t="shared" si="1"/>
        <v>11770</v>
      </c>
      <c r="N20" s="34">
        <f t="shared" si="1"/>
        <v>11770</v>
      </c>
      <c r="O20" s="34">
        <f>SUM(Table4[[#This Row],[Column2]:[Column13]])</f>
        <v>138740</v>
      </c>
    </row>
    <row r="21" spans="2:15" s="16" customFormat="1" ht="18.600000000000001" customHeight="1" x14ac:dyDescent="0.3">
      <c r="B21" s="21" t="s">
        <v>19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>
        <f>SUM(Table4[[#This Row],[Column2]:[Column13]])</f>
        <v>0</v>
      </c>
    </row>
    <row r="22" spans="2:15" ht="18.600000000000001" hidden="1" customHeight="1" x14ac:dyDescent="0.3">
      <c r="B22" t="s">
        <v>13</v>
      </c>
      <c r="C22" s="37" t="s">
        <v>12</v>
      </c>
      <c r="D22" s="37" t="s">
        <v>11</v>
      </c>
      <c r="E22" s="37" t="s">
        <v>10</v>
      </c>
      <c r="F22" s="37" t="s">
        <v>9</v>
      </c>
      <c r="G22" s="37" t="s">
        <v>8</v>
      </c>
      <c r="H22" s="37" t="s">
        <v>7</v>
      </c>
      <c r="I22" s="37" t="s">
        <v>6</v>
      </c>
      <c r="J22" s="37" t="s">
        <v>5</v>
      </c>
      <c r="K22" s="37" t="s">
        <v>4</v>
      </c>
      <c r="L22" s="37" t="s">
        <v>3</v>
      </c>
      <c r="M22" s="37" t="s">
        <v>2</v>
      </c>
      <c r="N22" s="37" t="s">
        <v>1</v>
      </c>
      <c r="O22" s="37" t="s">
        <v>0</v>
      </c>
    </row>
    <row r="23" spans="2:15" s="3" customFormat="1" ht="18.600000000000001" customHeight="1" x14ac:dyDescent="0.3">
      <c r="B23" s="2" t="s">
        <v>39</v>
      </c>
      <c r="C23" s="32">
        <v>500</v>
      </c>
      <c r="D23" s="32">
        <v>500</v>
      </c>
      <c r="E23" s="32">
        <v>500</v>
      </c>
      <c r="F23" s="32">
        <v>500</v>
      </c>
      <c r="G23" s="32">
        <v>500</v>
      </c>
      <c r="H23" s="32">
        <v>500</v>
      </c>
      <c r="I23" s="32">
        <v>500</v>
      </c>
      <c r="J23" s="32">
        <v>500</v>
      </c>
      <c r="K23" s="32">
        <v>500</v>
      </c>
      <c r="L23" s="32">
        <v>500</v>
      </c>
      <c r="M23" s="32">
        <v>500</v>
      </c>
      <c r="N23" s="32">
        <v>500</v>
      </c>
      <c r="O23" s="33">
        <f>SUM(Table5[[#This Row],[Column2]:[Column13]])</f>
        <v>6000</v>
      </c>
    </row>
    <row r="24" spans="2:15" s="3" customFormat="1" ht="18.600000000000001" customHeight="1" x14ac:dyDescent="0.3">
      <c r="B24" s="2" t="s">
        <v>40</v>
      </c>
      <c r="C24" s="32">
        <v>200</v>
      </c>
      <c r="D24" s="32">
        <v>200</v>
      </c>
      <c r="E24" s="32">
        <v>200</v>
      </c>
      <c r="F24" s="32">
        <v>200</v>
      </c>
      <c r="G24" s="32">
        <v>200</v>
      </c>
      <c r="H24" s="32">
        <v>1000</v>
      </c>
      <c r="I24" s="32">
        <v>200</v>
      </c>
      <c r="J24" s="32">
        <v>200</v>
      </c>
      <c r="K24" s="32">
        <v>200</v>
      </c>
      <c r="L24" s="32">
        <v>200</v>
      </c>
      <c r="M24" s="32">
        <v>200</v>
      </c>
      <c r="N24" s="32">
        <v>1000</v>
      </c>
      <c r="O24" s="33">
        <f>SUM(Table5[[#This Row],[Column2]:[Column13]])</f>
        <v>4000</v>
      </c>
    </row>
    <row r="25" spans="2:15" s="3" customFormat="1" ht="18.600000000000001" customHeight="1" x14ac:dyDescent="0.3">
      <c r="B25" s="2" t="s">
        <v>41</v>
      </c>
      <c r="C25" s="32">
        <v>5000</v>
      </c>
      <c r="D25" s="32">
        <v>0</v>
      </c>
      <c r="E25" s="32">
        <v>0</v>
      </c>
      <c r="F25" s="32">
        <v>5000</v>
      </c>
      <c r="G25" s="32">
        <v>0</v>
      </c>
      <c r="H25" s="32">
        <v>0</v>
      </c>
      <c r="I25" s="32">
        <v>5000</v>
      </c>
      <c r="J25" s="32">
        <v>0</v>
      </c>
      <c r="K25" s="32">
        <v>0</v>
      </c>
      <c r="L25" s="32">
        <v>5000</v>
      </c>
      <c r="M25" s="32">
        <v>0</v>
      </c>
      <c r="N25" s="32">
        <v>0</v>
      </c>
      <c r="O25" s="33">
        <f>SUM(Table5[[#This Row],[Column2]:[Column13]])</f>
        <v>20000</v>
      </c>
    </row>
    <row r="26" spans="2:15" s="3" customFormat="1" ht="18.600000000000001" customHeight="1" x14ac:dyDescent="0.3">
      <c r="B26" s="2" t="s">
        <v>42</v>
      </c>
      <c r="C26" s="32">
        <v>200</v>
      </c>
      <c r="D26" s="32">
        <v>200</v>
      </c>
      <c r="E26" s="32">
        <v>200</v>
      </c>
      <c r="F26" s="32">
        <v>200</v>
      </c>
      <c r="G26" s="32">
        <v>200</v>
      </c>
      <c r="H26" s="32">
        <v>200</v>
      </c>
      <c r="I26" s="32">
        <v>200</v>
      </c>
      <c r="J26" s="32">
        <v>200</v>
      </c>
      <c r="K26" s="32">
        <v>200</v>
      </c>
      <c r="L26" s="32">
        <v>200</v>
      </c>
      <c r="M26" s="32">
        <v>200</v>
      </c>
      <c r="N26" s="32">
        <v>200</v>
      </c>
      <c r="O26" s="33">
        <f>SUM(Table5[[#This Row],[Column2]:[Column13]])</f>
        <v>2400</v>
      </c>
    </row>
    <row r="27" spans="2:15" s="3" customFormat="1" ht="18.600000000000001" customHeight="1" x14ac:dyDescent="0.3">
      <c r="B27" s="2" t="s">
        <v>43</v>
      </c>
      <c r="C27" s="32">
        <v>2000</v>
      </c>
      <c r="D27" s="32">
        <v>2000</v>
      </c>
      <c r="E27" s="32">
        <v>2000</v>
      </c>
      <c r="F27" s="32">
        <v>5000</v>
      </c>
      <c r="G27" s="32">
        <v>2000</v>
      </c>
      <c r="H27" s="32">
        <v>2000</v>
      </c>
      <c r="I27" s="32">
        <v>2000</v>
      </c>
      <c r="J27" s="32">
        <v>5000</v>
      </c>
      <c r="K27" s="32">
        <v>2000</v>
      </c>
      <c r="L27" s="32">
        <v>2000</v>
      </c>
      <c r="M27" s="32">
        <v>2000</v>
      </c>
      <c r="N27" s="32">
        <v>5000</v>
      </c>
      <c r="O27" s="33">
        <f>SUM(Table5[[#This Row],[Column2]:[Column13]])</f>
        <v>33000</v>
      </c>
    </row>
    <row r="28" spans="2:15" s="3" customFormat="1" ht="18.600000000000001" customHeight="1" x14ac:dyDescent="0.3">
      <c r="B28" s="2" t="s">
        <v>44</v>
      </c>
      <c r="C28" s="32">
        <v>200</v>
      </c>
      <c r="D28" s="32">
        <v>200</v>
      </c>
      <c r="E28" s="32">
        <v>200</v>
      </c>
      <c r="F28" s="32">
        <v>200</v>
      </c>
      <c r="G28" s="32">
        <v>200</v>
      </c>
      <c r="H28" s="32">
        <v>200</v>
      </c>
      <c r="I28" s="32">
        <v>200</v>
      </c>
      <c r="J28" s="32">
        <v>200</v>
      </c>
      <c r="K28" s="32">
        <v>200</v>
      </c>
      <c r="L28" s="32">
        <v>200</v>
      </c>
      <c r="M28" s="32">
        <v>200</v>
      </c>
      <c r="N28" s="32">
        <v>200</v>
      </c>
      <c r="O28" s="33">
        <f>SUM(Table5[[#This Row],[Column2]:[Column13]])</f>
        <v>2400</v>
      </c>
    </row>
    <row r="29" spans="2:15" ht="18.600000000000001" customHeight="1" x14ac:dyDescent="0.3">
      <c r="B29" s="1" t="s">
        <v>45</v>
      </c>
      <c r="C29" s="34">
        <f t="shared" ref="C29:N29" si="2">SUBTOTAL(109,C23:C28)</f>
        <v>8100</v>
      </c>
      <c r="D29" s="34">
        <f t="shared" si="2"/>
        <v>3100</v>
      </c>
      <c r="E29" s="34">
        <f t="shared" si="2"/>
        <v>3100</v>
      </c>
      <c r="F29" s="34">
        <f t="shared" si="2"/>
        <v>11100</v>
      </c>
      <c r="G29" s="34">
        <f t="shared" si="2"/>
        <v>3100</v>
      </c>
      <c r="H29" s="34">
        <f t="shared" si="2"/>
        <v>3900</v>
      </c>
      <c r="I29" s="34">
        <f t="shared" si="2"/>
        <v>8100</v>
      </c>
      <c r="J29" s="34">
        <f t="shared" si="2"/>
        <v>6100</v>
      </c>
      <c r="K29" s="34">
        <f t="shared" si="2"/>
        <v>3100</v>
      </c>
      <c r="L29" s="34">
        <f t="shared" si="2"/>
        <v>8100</v>
      </c>
      <c r="M29" s="34">
        <f t="shared" si="2"/>
        <v>3100</v>
      </c>
      <c r="N29" s="34">
        <f t="shared" si="2"/>
        <v>6900</v>
      </c>
      <c r="O29" s="34">
        <f>SUM(Table5[[#This Row],[Column2]:[Column13]])</f>
        <v>67800</v>
      </c>
    </row>
    <row r="30" spans="2:15" s="16" customFormat="1" ht="18.600000000000001" customHeight="1" x14ac:dyDescent="0.3">
      <c r="B30" s="17" t="s">
        <v>20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>
        <f>SUM(Table5[[#This Row],[Column2]:[Column13]])</f>
        <v>0</v>
      </c>
    </row>
    <row r="31" spans="2:15" s="3" customFormat="1" ht="18.600000000000001" hidden="1" customHeight="1" x14ac:dyDescent="0.3">
      <c r="B31" s="6" t="s">
        <v>13</v>
      </c>
      <c r="C31" s="40" t="s">
        <v>12</v>
      </c>
      <c r="D31" s="40" t="s">
        <v>11</v>
      </c>
      <c r="E31" s="40" t="s">
        <v>10</v>
      </c>
      <c r="F31" s="40" t="s">
        <v>9</v>
      </c>
      <c r="G31" s="40" t="s">
        <v>8</v>
      </c>
      <c r="H31" s="40" t="s">
        <v>7</v>
      </c>
      <c r="I31" s="40" t="s">
        <v>6</v>
      </c>
      <c r="J31" s="40" t="s">
        <v>5</v>
      </c>
      <c r="K31" s="40" t="s">
        <v>4</v>
      </c>
      <c r="L31" s="40" t="s">
        <v>3</v>
      </c>
      <c r="M31" s="40" t="s">
        <v>2</v>
      </c>
      <c r="N31" s="40" t="s">
        <v>1</v>
      </c>
      <c r="O31" s="41" t="s">
        <v>0</v>
      </c>
    </row>
    <row r="32" spans="2:15" s="3" customFormat="1" ht="18.600000000000001" customHeight="1" x14ac:dyDescent="0.3">
      <c r="B32" s="2" t="s">
        <v>46</v>
      </c>
      <c r="C32" s="32">
        <v>2000</v>
      </c>
      <c r="D32" s="32">
        <v>2000</v>
      </c>
      <c r="E32" s="32">
        <v>2000</v>
      </c>
      <c r="F32" s="32">
        <v>2000</v>
      </c>
      <c r="G32" s="32">
        <v>2000</v>
      </c>
      <c r="H32" s="32">
        <v>2000</v>
      </c>
      <c r="I32" s="32">
        <v>2000</v>
      </c>
      <c r="J32" s="32">
        <v>2000</v>
      </c>
      <c r="K32" s="32">
        <v>2000</v>
      </c>
      <c r="L32" s="32">
        <v>2000</v>
      </c>
      <c r="M32" s="32">
        <v>2000</v>
      </c>
      <c r="N32" s="32">
        <v>2000</v>
      </c>
      <c r="O32" s="33">
        <f>SUM(Table6[[#This Row],[Column2]:[Column13]])</f>
        <v>24000</v>
      </c>
    </row>
    <row r="33" spans="2:15" ht="18.600000000000001" customHeight="1" x14ac:dyDescent="0.3">
      <c r="B33" s="2" t="s">
        <v>47</v>
      </c>
      <c r="C33" s="32">
        <v>2000</v>
      </c>
      <c r="D33" s="32">
        <v>2000</v>
      </c>
      <c r="E33" s="32">
        <v>2000</v>
      </c>
      <c r="F33" s="32">
        <v>2000</v>
      </c>
      <c r="G33" s="32">
        <v>2000</v>
      </c>
      <c r="H33" s="32">
        <v>2000</v>
      </c>
      <c r="I33" s="32">
        <v>2000</v>
      </c>
      <c r="J33" s="32">
        <v>2000</v>
      </c>
      <c r="K33" s="32">
        <v>2000</v>
      </c>
      <c r="L33" s="32">
        <v>2000</v>
      </c>
      <c r="M33" s="32">
        <v>2000</v>
      </c>
      <c r="N33" s="32">
        <v>2000</v>
      </c>
      <c r="O33" s="33">
        <f>SUM(Table6[[#This Row],[Column2]:[Column13]])</f>
        <v>24000</v>
      </c>
    </row>
    <row r="34" spans="2:15" ht="18.600000000000001" customHeight="1" x14ac:dyDescent="0.3">
      <c r="B34" s="1" t="s">
        <v>29</v>
      </c>
      <c r="C34" s="34">
        <f t="shared" ref="C34:O34" si="3">SUBTOTAL(109,C32:C33)</f>
        <v>4000</v>
      </c>
      <c r="D34" s="34">
        <f t="shared" si="3"/>
        <v>4000</v>
      </c>
      <c r="E34" s="34">
        <f t="shared" si="3"/>
        <v>4000</v>
      </c>
      <c r="F34" s="34">
        <f t="shared" si="3"/>
        <v>4000</v>
      </c>
      <c r="G34" s="34">
        <f t="shared" si="3"/>
        <v>4000</v>
      </c>
      <c r="H34" s="34">
        <f t="shared" si="3"/>
        <v>4000</v>
      </c>
      <c r="I34" s="34">
        <f t="shared" si="3"/>
        <v>4000</v>
      </c>
      <c r="J34" s="34">
        <f t="shared" si="3"/>
        <v>4000</v>
      </c>
      <c r="K34" s="34">
        <f t="shared" si="3"/>
        <v>4000</v>
      </c>
      <c r="L34" s="34">
        <f t="shared" si="3"/>
        <v>4000</v>
      </c>
      <c r="M34" s="34">
        <f t="shared" si="3"/>
        <v>4000</v>
      </c>
      <c r="N34" s="34">
        <f t="shared" si="3"/>
        <v>4000</v>
      </c>
      <c r="O34" s="34">
        <f t="shared" si="3"/>
        <v>48000</v>
      </c>
    </row>
    <row r="35" spans="2:15" ht="18.600000000000001" customHeight="1" x14ac:dyDescent="0.3">
      <c r="B35" s="13" t="s">
        <v>48</v>
      </c>
      <c r="C35" s="42">
        <f t="shared" ref="C35:N35" si="4">+C34+C29+C20+C9</f>
        <v>131420</v>
      </c>
      <c r="D35" s="43">
        <f t="shared" si="4"/>
        <v>126820</v>
      </c>
      <c r="E35" s="43">
        <f t="shared" si="4"/>
        <v>126820</v>
      </c>
      <c r="F35" s="43">
        <f t="shared" si="4"/>
        <v>137695</v>
      </c>
      <c r="G35" s="43">
        <f t="shared" si="4"/>
        <v>129695</v>
      </c>
      <c r="H35" s="43">
        <f t="shared" si="4"/>
        <v>130495</v>
      </c>
      <c r="I35" s="43">
        <f t="shared" si="4"/>
        <v>134695</v>
      </c>
      <c r="J35" s="43">
        <f t="shared" si="4"/>
        <v>138918</v>
      </c>
      <c r="K35" s="43">
        <f t="shared" si="4"/>
        <v>135918</v>
      </c>
      <c r="L35" s="43">
        <f t="shared" si="4"/>
        <v>140918</v>
      </c>
      <c r="M35" s="43">
        <f t="shared" si="4"/>
        <v>136218</v>
      </c>
      <c r="N35" s="43">
        <f t="shared" si="4"/>
        <v>140018</v>
      </c>
      <c r="O35" s="43">
        <f>SUM(C35:N35)</f>
        <v>1609630</v>
      </c>
    </row>
    <row r="36" spans="2:15" ht="18.600000000000001" customHeight="1" x14ac:dyDescent="0.3">
      <c r="B36" s="13" t="s">
        <v>49</v>
      </c>
      <c r="C36" s="43">
        <f>+C35</f>
        <v>131420</v>
      </c>
      <c r="D36" s="43">
        <f>+D35+C35</f>
        <v>258240</v>
      </c>
      <c r="E36" s="43">
        <f t="shared" ref="E36:M36" si="5">+E35+D36</f>
        <v>385060</v>
      </c>
      <c r="F36" s="43">
        <f t="shared" si="5"/>
        <v>522755</v>
      </c>
      <c r="G36" s="43">
        <f t="shared" si="5"/>
        <v>652450</v>
      </c>
      <c r="H36" s="43">
        <f t="shared" si="5"/>
        <v>782945</v>
      </c>
      <c r="I36" s="43">
        <f t="shared" si="5"/>
        <v>917640</v>
      </c>
      <c r="J36" s="43">
        <f t="shared" si="5"/>
        <v>1056558</v>
      </c>
      <c r="K36" s="43">
        <f t="shared" si="5"/>
        <v>1192476</v>
      </c>
      <c r="L36" s="43">
        <f t="shared" si="5"/>
        <v>1333394</v>
      </c>
      <c r="M36" s="43">
        <f t="shared" si="5"/>
        <v>1469612</v>
      </c>
      <c r="N36" s="43">
        <v>1609630</v>
      </c>
      <c r="O36" s="43">
        <f>+N36+O35</f>
        <v>3219260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36"/>
  <sheetViews>
    <sheetView showGridLines="0" topLeftCell="A23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42.21875" customWidth="1"/>
    <col min="3" max="13" width="13.21875" customWidth="1"/>
    <col min="14" max="15" width="14.77734375" customWidth="1"/>
  </cols>
  <sheetData>
    <row r="2" spans="2:15" x14ac:dyDescent="0.3">
      <c r="B2" s="26" t="s">
        <v>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2:15" x14ac:dyDescent="0.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</row>
    <row r="5" spans="2:15" s="7" customFormat="1" ht="28.2" customHeight="1" x14ac:dyDescent="0.3">
      <c r="B5" s="6" t="s">
        <v>26</v>
      </c>
      <c r="C5" s="44" t="s">
        <v>50</v>
      </c>
      <c r="D5" s="44" t="s">
        <v>51</v>
      </c>
      <c r="E5" s="44" t="s">
        <v>52</v>
      </c>
      <c r="F5" s="44" t="s">
        <v>53</v>
      </c>
      <c r="G5" s="44" t="s">
        <v>54</v>
      </c>
      <c r="H5" s="44" t="s">
        <v>55</v>
      </c>
      <c r="I5" s="44" t="s">
        <v>56</v>
      </c>
      <c r="J5" s="44" t="s">
        <v>14</v>
      </c>
      <c r="K5" s="44" t="s">
        <v>57</v>
      </c>
      <c r="L5" s="44" t="s">
        <v>58</v>
      </c>
      <c r="M5" s="44" t="s">
        <v>59</v>
      </c>
      <c r="N5" s="44" t="s">
        <v>60</v>
      </c>
      <c r="O5" s="45" t="s">
        <v>61</v>
      </c>
    </row>
    <row r="6" spans="2:15" s="16" customFormat="1" ht="22.8" customHeight="1" x14ac:dyDescent="0.3">
      <c r="B6" s="17" t="s">
        <v>17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>
        <f>SUM(Table18[[#This Row],[Janeiro]:[Dezembro]])</f>
        <v>0</v>
      </c>
    </row>
    <row r="7" spans="2:15" s="3" customFormat="1" ht="22.8" customHeight="1" x14ac:dyDescent="0.3">
      <c r="B7" s="2" t="s">
        <v>27</v>
      </c>
      <c r="C7" s="32">
        <v>85000</v>
      </c>
      <c r="D7" s="32">
        <v>85000</v>
      </c>
      <c r="E7" s="32">
        <v>85000</v>
      </c>
      <c r="F7" s="32">
        <v>88000</v>
      </c>
      <c r="G7" s="32">
        <v>88000</v>
      </c>
      <c r="H7" s="32">
        <v>88000</v>
      </c>
      <c r="I7" s="32"/>
      <c r="J7" s="32"/>
      <c r="K7" s="32"/>
      <c r="L7" s="32"/>
      <c r="M7" s="32"/>
      <c r="N7" s="32"/>
      <c r="O7" s="33">
        <f>SUM(Table18[[#This Row],[Janeiro]:[Dezembro]])</f>
        <v>519000</v>
      </c>
    </row>
    <row r="8" spans="2:15" s="3" customFormat="1" ht="22.8" customHeight="1" x14ac:dyDescent="0.3">
      <c r="B8" s="2" t="s">
        <v>28</v>
      </c>
      <c r="C8" s="32">
        <v>22950</v>
      </c>
      <c r="D8" s="32">
        <v>22950</v>
      </c>
      <c r="E8" s="32">
        <v>22950</v>
      </c>
      <c r="F8" s="32">
        <v>23760</v>
      </c>
      <c r="G8" s="32">
        <v>23760</v>
      </c>
      <c r="H8" s="32">
        <v>23760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3">
        <f>SUM(Table18[[#This Row],[Janeiro]:[Dezembro]])</f>
        <v>140130</v>
      </c>
    </row>
    <row r="9" spans="2:15" ht="22.8" customHeight="1" x14ac:dyDescent="0.3">
      <c r="B9" s="1" t="s">
        <v>29</v>
      </c>
      <c r="C9" s="34">
        <f t="shared" ref="C9:O9" si="0">SUBTOTAL(109,C7:C8)</f>
        <v>107950</v>
      </c>
      <c r="D9" s="34">
        <f t="shared" si="0"/>
        <v>107950</v>
      </c>
      <c r="E9" s="34">
        <f t="shared" si="0"/>
        <v>107950</v>
      </c>
      <c r="F9" s="34">
        <f t="shared" si="0"/>
        <v>111760</v>
      </c>
      <c r="G9" s="34">
        <f t="shared" si="0"/>
        <v>111760</v>
      </c>
      <c r="H9" s="34">
        <f t="shared" si="0"/>
        <v>111760</v>
      </c>
      <c r="I9" s="34">
        <f t="shared" si="0"/>
        <v>0</v>
      </c>
      <c r="J9" s="34">
        <f t="shared" si="0"/>
        <v>0</v>
      </c>
      <c r="K9" s="34">
        <f t="shared" si="0"/>
        <v>0</v>
      </c>
      <c r="L9" s="34">
        <f t="shared" si="0"/>
        <v>0</v>
      </c>
      <c r="M9" s="34">
        <f t="shared" si="0"/>
        <v>0</v>
      </c>
      <c r="N9" s="34">
        <f t="shared" si="0"/>
        <v>0</v>
      </c>
      <c r="O9" s="34">
        <f t="shared" si="0"/>
        <v>659130</v>
      </c>
    </row>
    <row r="10" spans="2:15" s="16" customFormat="1" ht="22.8" customHeight="1" x14ac:dyDescent="0.3">
      <c r="B10" s="20" t="s">
        <v>18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6">
        <f>SUM(Table18[[#This Row],[Janeiro]:[Dezembro]])</f>
        <v>0</v>
      </c>
    </row>
    <row r="11" spans="2:15" ht="22.8" hidden="1" customHeight="1" x14ac:dyDescent="0.3">
      <c r="B11" t="s">
        <v>13</v>
      </c>
      <c r="C11" s="37" t="s">
        <v>12</v>
      </c>
      <c r="D11" s="37" t="s">
        <v>11</v>
      </c>
      <c r="E11" s="37" t="s">
        <v>10</v>
      </c>
      <c r="F11" s="37" t="s">
        <v>9</v>
      </c>
      <c r="G11" s="37" t="s">
        <v>8</v>
      </c>
      <c r="H11" s="37" t="s">
        <v>7</v>
      </c>
      <c r="I11" s="37" t="s">
        <v>6</v>
      </c>
      <c r="J11" s="37" t="s">
        <v>5</v>
      </c>
      <c r="K11" s="37" t="s">
        <v>4</v>
      </c>
      <c r="L11" s="37" t="s">
        <v>3</v>
      </c>
      <c r="M11" s="37" t="s">
        <v>2</v>
      </c>
      <c r="N11" s="37" t="s">
        <v>1</v>
      </c>
      <c r="O11" s="37" t="s">
        <v>0</v>
      </c>
    </row>
    <row r="12" spans="2:15" s="3" customFormat="1" ht="22.8" customHeight="1" x14ac:dyDescent="0.3">
      <c r="B12" s="2" t="s">
        <v>30</v>
      </c>
      <c r="C12" s="32">
        <v>9800</v>
      </c>
      <c r="D12" s="32">
        <v>9800</v>
      </c>
      <c r="E12" s="32">
        <v>9800</v>
      </c>
      <c r="F12" s="32">
        <v>9800</v>
      </c>
      <c r="G12" s="32">
        <v>9800</v>
      </c>
      <c r="H12" s="32">
        <v>9800</v>
      </c>
      <c r="I12" s="32"/>
      <c r="J12" s="32"/>
      <c r="K12" s="32"/>
      <c r="L12" s="32"/>
      <c r="M12" s="32"/>
      <c r="N12" s="32"/>
      <c r="O12" s="33">
        <f>SUM(Table49[[#This Row],[Column2]:[Column13]])</f>
        <v>58800</v>
      </c>
    </row>
    <row r="13" spans="2:15" s="3" customFormat="1" ht="22.8" customHeight="1" x14ac:dyDescent="0.3">
      <c r="B13" s="2" t="s">
        <v>31</v>
      </c>
      <c r="C13" s="32">
        <v>4</v>
      </c>
      <c r="D13" s="32">
        <v>430</v>
      </c>
      <c r="E13" s="32">
        <v>385</v>
      </c>
      <c r="F13" s="32">
        <v>230</v>
      </c>
      <c r="G13" s="32">
        <v>87</v>
      </c>
      <c r="H13" s="32">
        <v>88</v>
      </c>
      <c r="I13" s="32"/>
      <c r="J13" s="32"/>
      <c r="K13" s="32"/>
      <c r="L13" s="32"/>
      <c r="M13" s="32"/>
      <c r="N13" s="32"/>
      <c r="O13" s="33">
        <f>SUM(Table49[[#This Row],[Column2]:[Column13]])</f>
        <v>1224</v>
      </c>
    </row>
    <row r="14" spans="2:15" s="3" customFormat="1" ht="22.8" customHeight="1" x14ac:dyDescent="0.3">
      <c r="B14" s="2" t="s">
        <v>32</v>
      </c>
      <c r="C14" s="32">
        <v>288</v>
      </c>
      <c r="D14" s="32">
        <v>278</v>
      </c>
      <c r="E14" s="32">
        <v>268</v>
      </c>
      <c r="F14" s="32">
        <v>299</v>
      </c>
      <c r="G14" s="32">
        <v>306</v>
      </c>
      <c r="H14" s="32">
        <v>290</v>
      </c>
      <c r="I14" s="32"/>
      <c r="J14" s="32"/>
      <c r="K14" s="32"/>
      <c r="L14" s="32"/>
      <c r="M14" s="32"/>
      <c r="N14" s="32"/>
      <c r="O14" s="33">
        <f>SUM(Table49[[#This Row],[Column2]:[Column13]])</f>
        <v>1729</v>
      </c>
    </row>
    <row r="15" spans="2:15" s="3" customFormat="1" ht="22.8" customHeight="1" x14ac:dyDescent="0.3">
      <c r="B15" s="2" t="s">
        <v>33</v>
      </c>
      <c r="C15" s="32">
        <v>35</v>
      </c>
      <c r="D15" s="32">
        <v>33</v>
      </c>
      <c r="E15" s="32">
        <v>34</v>
      </c>
      <c r="F15" s="32">
        <v>36</v>
      </c>
      <c r="G15" s="32">
        <v>34</v>
      </c>
      <c r="H15" s="32">
        <v>36</v>
      </c>
      <c r="I15" s="32"/>
      <c r="J15" s="32"/>
      <c r="K15" s="32"/>
      <c r="L15" s="32"/>
      <c r="M15" s="32"/>
      <c r="N15" s="32"/>
      <c r="O15" s="33">
        <f>SUM(Table49[[#This Row],[Column2]:[Column13]])</f>
        <v>208</v>
      </c>
    </row>
    <row r="16" spans="2:15" s="3" customFormat="1" ht="22.8" customHeight="1" x14ac:dyDescent="0.3">
      <c r="B16" s="2" t="s">
        <v>34</v>
      </c>
      <c r="C16" s="32">
        <v>224</v>
      </c>
      <c r="D16" s="32">
        <v>235</v>
      </c>
      <c r="E16" s="32">
        <v>265</v>
      </c>
      <c r="F16" s="32">
        <v>245</v>
      </c>
      <c r="G16" s="32">
        <v>245</v>
      </c>
      <c r="H16" s="32">
        <v>220</v>
      </c>
      <c r="I16" s="32"/>
      <c r="J16" s="32"/>
      <c r="K16" s="32"/>
      <c r="L16" s="32"/>
      <c r="M16" s="32"/>
      <c r="N16" s="32"/>
      <c r="O16" s="33">
        <f>SUM(Table49[[#This Row],[Column2]:[Column13]])</f>
        <v>1434</v>
      </c>
    </row>
    <row r="17" spans="2:15" s="3" customFormat="1" ht="22.8" customHeight="1" x14ac:dyDescent="0.3">
      <c r="B17" s="2" t="s">
        <v>35</v>
      </c>
      <c r="C17" s="32">
        <v>180</v>
      </c>
      <c r="D17" s="32">
        <v>180</v>
      </c>
      <c r="E17" s="32">
        <v>180</v>
      </c>
      <c r="F17" s="32">
        <v>180</v>
      </c>
      <c r="G17" s="32">
        <v>180</v>
      </c>
      <c r="H17" s="32">
        <v>180</v>
      </c>
      <c r="I17" s="32"/>
      <c r="J17" s="32"/>
      <c r="K17" s="32"/>
      <c r="L17" s="32"/>
      <c r="M17" s="32"/>
      <c r="N17" s="32"/>
      <c r="O17" s="33">
        <f>SUM(Table49[[#This Row],[Column2]:[Column13]])</f>
        <v>1080</v>
      </c>
    </row>
    <row r="18" spans="2:15" s="3" customFormat="1" ht="22.8" customHeight="1" x14ac:dyDescent="0.3">
      <c r="B18" s="2" t="s">
        <v>36</v>
      </c>
      <c r="C18" s="32">
        <v>256</v>
      </c>
      <c r="D18" s="32">
        <v>142</v>
      </c>
      <c r="E18" s="32">
        <v>160</v>
      </c>
      <c r="F18" s="32">
        <v>221</v>
      </c>
      <c r="G18" s="32">
        <v>256</v>
      </c>
      <c r="H18" s="32">
        <v>240</v>
      </c>
      <c r="I18" s="32"/>
      <c r="J18" s="32"/>
      <c r="K18" s="32"/>
      <c r="L18" s="32"/>
      <c r="M18" s="32"/>
      <c r="N18" s="32"/>
      <c r="O18" s="33">
        <f>SUM(Table49[[#This Row],[Column2]:[Column13]])</f>
        <v>1275</v>
      </c>
    </row>
    <row r="19" spans="2:15" s="3" customFormat="1" ht="22.8" customHeight="1" x14ac:dyDescent="0.3">
      <c r="B19" s="2" t="s">
        <v>37</v>
      </c>
      <c r="C19" s="32">
        <v>600</v>
      </c>
      <c r="D19" s="32">
        <v>600</v>
      </c>
      <c r="E19" s="32">
        <v>600</v>
      </c>
      <c r="F19" s="32">
        <v>600</v>
      </c>
      <c r="G19" s="32">
        <v>600</v>
      </c>
      <c r="H19" s="32">
        <v>600</v>
      </c>
      <c r="I19" s="32"/>
      <c r="J19" s="32"/>
      <c r="K19" s="32"/>
      <c r="L19" s="32"/>
      <c r="M19" s="32"/>
      <c r="N19" s="32"/>
      <c r="O19" s="33">
        <f>SUM(Table49[[#This Row],[Column2]:[Column13]])</f>
        <v>3600</v>
      </c>
    </row>
    <row r="20" spans="2:15" ht="22.8" customHeight="1" x14ac:dyDescent="0.3">
      <c r="B20" s="1" t="s">
        <v>38</v>
      </c>
      <c r="C20" s="34">
        <f t="shared" ref="C20:N20" si="1">SUBTOTAL(109,C12:C19)</f>
        <v>11387</v>
      </c>
      <c r="D20" s="34">
        <f t="shared" si="1"/>
        <v>11698</v>
      </c>
      <c r="E20" s="34">
        <f t="shared" si="1"/>
        <v>11692</v>
      </c>
      <c r="F20" s="34">
        <f t="shared" si="1"/>
        <v>11611</v>
      </c>
      <c r="G20" s="34">
        <f t="shared" si="1"/>
        <v>11508</v>
      </c>
      <c r="H20" s="34">
        <f t="shared" si="1"/>
        <v>11454</v>
      </c>
      <c r="I20" s="34">
        <f t="shared" si="1"/>
        <v>0</v>
      </c>
      <c r="J20" s="34">
        <f t="shared" si="1"/>
        <v>0</v>
      </c>
      <c r="K20" s="34">
        <f t="shared" si="1"/>
        <v>0</v>
      </c>
      <c r="L20" s="34">
        <f t="shared" si="1"/>
        <v>0</v>
      </c>
      <c r="M20" s="34">
        <f t="shared" si="1"/>
        <v>0</v>
      </c>
      <c r="N20" s="34">
        <f t="shared" si="1"/>
        <v>0</v>
      </c>
      <c r="O20" s="34">
        <f>SUM(Table49[[#This Row],[Column2]:[Column13]])</f>
        <v>69350</v>
      </c>
    </row>
    <row r="21" spans="2:15" s="16" customFormat="1" ht="22.8" customHeight="1" x14ac:dyDescent="0.3">
      <c r="B21" s="21" t="s">
        <v>19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>
        <f>SUM(Table49[[#This Row],[Column2]:[Column13]])</f>
        <v>0</v>
      </c>
    </row>
    <row r="22" spans="2:15" ht="22.8" hidden="1" customHeight="1" x14ac:dyDescent="0.3">
      <c r="B22" t="s">
        <v>13</v>
      </c>
      <c r="C22" s="37" t="s">
        <v>12</v>
      </c>
      <c r="D22" s="37" t="s">
        <v>11</v>
      </c>
      <c r="E22" s="37" t="s">
        <v>10</v>
      </c>
      <c r="F22" s="37" t="s">
        <v>9</v>
      </c>
      <c r="G22" s="37" t="s">
        <v>8</v>
      </c>
      <c r="H22" s="37" t="s">
        <v>7</v>
      </c>
      <c r="I22" s="37" t="s">
        <v>6</v>
      </c>
      <c r="J22" s="37" t="s">
        <v>5</v>
      </c>
      <c r="K22" s="37" t="s">
        <v>4</v>
      </c>
      <c r="L22" s="37" t="s">
        <v>3</v>
      </c>
      <c r="M22" s="37" t="s">
        <v>2</v>
      </c>
      <c r="N22" s="37" t="s">
        <v>1</v>
      </c>
      <c r="O22" s="37" t="s">
        <v>0</v>
      </c>
    </row>
    <row r="23" spans="2:15" s="3" customFormat="1" ht="22.8" customHeight="1" x14ac:dyDescent="0.3">
      <c r="B23" s="2" t="s">
        <v>39</v>
      </c>
      <c r="C23" s="32">
        <v>500</v>
      </c>
      <c r="D23" s="32">
        <v>500</v>
      </c>
      <c r="E23" s="32">
        <v>500</v>
      </c>
      <c r="F23" s="32">
        <v>500</v>
      </c>
      <c r="G23" s="32">
        <v>500</v>
      </c>
      <c r="H23" s="32">
        <v>500</v>
      </c>
      <c r="I23" s="32"/>
      <c r="J23" s="32"/>
      <c r="K23" s="32"/>
      <c r="L23" s="32"/>
      <c r="M23" s="32"/>
      <c r="N23" s="32"/>
      <c r="O23" s="33">
        <f>SUM(Table510[[#This Row],[Column2]:[Column13]])</f>
        <v>3000</v>
      </c>
    </row>
    <row r="24" spans="2:15" s="3" customFormat="1" ht="22.8" customHeight="1" x14ac:dyDescent="0.3">
      <c r="B24" s="2" t="s">
        <v>40</v>
      </c>
      <c r="C24" s="32">
        <v>200</v>
      </c>
      <c r="D24" s="32">
        <v>200</v>
      </c>
      <c r="E24" s="32">
        <v>200</v>
      </c>
      <c r="F24" s="32">
        <v>200</v>
      </c>
      <c r="G24" s="32">
        <v>200</v>
      </c>
      <c r="H24" s="32">
        <v>1500</v>
      </c>
      <c r="I24" s="32"/>
      <c r="J24" s="32"/>
      <c r="K24" s="32"/>
      <c r="L24" s="32"/>
      <c r="M24" s="32"/>
      <c r="N24" s="32"/>
      <c r="O24" s="33">
        <f>SUM(Table510[[#This Row],[Column2]:[Column13]])</f>
        <v>2500</v>
      </c>
    </row>
    <row r="25" spans="2:15" s="3" customFormat="1" ht="22.8" customHeight="1" x14ac:dyDescent="0.3">
      <c r="B25" s="2" t="s">
        <v>41</v>
      </c>
      <c r="C25" s="32">
        <v>4800</v>
      </c>
      <c r="D25" s="32">
        <v>0</v>
      </c>
      <c r="E25" s="32">
        <v>0</v>
      </c>
      <c r="F25" s="32">
        <v>5500</v>
      </c>
      <c r="G25" s="32">
        <v>0</v>
      </c>
      <c r="H25" s="32">
        <v>0</v>
      </c>
      <c r="I25" s="32"/>
      <c r="J25" s="32"/>
      <c r="K25" s="32"/>
      <c r="L25" s="32"/>
      <c r="M25" s="32"/>
      <c r="N25" s="32"/>
      <c r="O25" s="33">
        <f>SUM(Table510[[#This Row],[Column2]:[Column13]])</f>
        <v>10300</v>
      </c>
    </row>
    <row r="26" spans="2:15" s="3" customFormat="1" ht="22.8" customHeight="1" x14ac:dyDescent="0.3">
      <c r="B26" s="2" t="s">
        <v>42</v>
      </c>
      <c r="C26" s="32">
        <v>100</v>
      </c>
      <c r="D26" s="32">
        <v>500</v>
      </c>
      <c r="E26" s="32">
        <v>100</v>
      </c>
      <c r="F26" s="32">
        <v>100</v>
      </c>
      <c r="G26" s="32">
        <v>600</v>
      </c>
      <c r="H26" s="32">
        <v>180</v>
      </c>
      <c r="I26" s="32"/>
      <c r="J26" s="32"/>
      <c r="K26" s="32"/>
      <c r="L26" s="32"/>
      <c r="M26" s="32"/>
      <c r="N26" s="32"/>
      <c r="O26" s="33">
        <f>SUM(Table510[[#This Row],[Column2]:[Column13]])</f>
        <v>1580</v>
      </c>
    </row>
    <row r="27" spans="2:15" s="3" customFormat="1" ht="22.8" customHeight="1" x14ac:dyDescent="0.3">
      <c r="B27" s="2" t="s">
        <v>43</v>
      </c>
      <c r="C27" s="32">
        <v>1800</v>
      </c>
      <c r="D27" s="32">
        <v>2200</v>
      </c>
      <c r="E27" s="32">
        <v>2200</v>
      </c>
      <c r="F27" s="32">
        <v>4700</v>
      </c>
      <c r="G27" s="32">
        <v>1500</v>
      </c>
      <c r="H27" s="32">
        <v>2300</v>
      </c>
      <c r="I27" s="32"/>
      <c r="J27" s="32"/>
      <c r="K27" s="32"/>
      <c r="L27" s="32"/>
      <c r="M27" s="32"/>
      <c r="N27" s="32"/>
      <c r="O27" s="33">
        <f>SUM(Table510[[#This Row],[Column2]:[Column13]])</f>
        <v>14700</v>
      </c>
    </row>
    <row r="28" spans="2:15" s="3" customFormat="1" ht="22.8" customHeight="1" x14ac:dyDescent="0.3">
      <c r="B28" s="2" t="s">
        <v>44</v>
      </c>
      <c r="C28" s="32">
        <v>145</v>
      </c>
      <c r="D28" s="32">
        <v>156</v>
      </c>
      <c r="E28" s="32">
        <v>123</v>
      </c>
      <c r="F28" s="32">
        <v>223</v>
      </c>
      <c r="G28" s="32">
        <v>187</v>
      </c>
      <c r="H28" s="32">
        <v>245</v>
      </c>
      <c r="I28" s="32"/>
      <c r="J28" s="32"/>
      <c r="K28" s="32"/>
      <c r="L28" s="32"/>
      <c r="M28" s="32"/>
      <c r="N28" s="32"/>
      <c r="O28" s="33">
        <f>SUM(Table510[[#This Row],[Column2]:[Column13]])</f>
        <v>1079</v>
      </c>
    </row>
    <row r="29" spans="2:15" ht="22.8" customHeight="1" x14ac:dyDescent="0.3">
      <c r="B29" s="1" t="s">
        <v>45</v>
      </c>
      <c r="C29" s="34">
        <f t="shared" ref="C29:N29" si="2">SUBTOTAL(109,C23:C28)</f>
        <v>7545</v>
      </c>
      <c r="D29" s="34">
        <f t="shared" si="2"/>
        <v>3556</v>
      </c>
      <c r="E29" s="34">
        <f t="shared" si="2"/>
        <v>3123</v>
      </c>
      <c r="F29" s="34">
        <f t="shared" si="2"/>
        <v>11223</v>
      </c>
      <c r="G29" s="34">
        <f t="shared" si="2"/>
        <v>2987</v>
      </c>
      <c r="H29" s="34">
        <f t="shared" si="2"/>
        <v>4725</v>
      </c>
      <c r="I29" s="34">
        <f t="shared" si="2"/>
        <v>0</v>
      </c>
      <c r="J29" s="34">
        <f t="shared" si="2"/>
        <v>0</v>
      </c>
      <c r="K29" s="34">
        <f t="shared" si="2"/>
        <v>0</v>
      </c>
      <c r="L29" s="34">
        <f t="shared" si="2"/>
        <v>0</v>
      </c>
      <c r="M29" s="34">
        <f t="shared" si="2"/>
        <v>0</v>
      </c>
      <c r="N29" s="34">
        <f t="shared" si="2"/>
        <v>0</v>
      </c>
      <c r="O29" s="34">
        <f>SUM(Table510[[#This Row],[Column2]:[Column13]])</f>
        <v>33159</v>
      </c>
    </row>
    <row r="30" spans="2:15" s="16" customFormat="1" ht="22.8" customHeight="1" x14ac:dyDescent="0.3">
      <c r="B30" s="17" t="s">
        <v>20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>
        <f>SUM(Table510[[#This Row],[Column2]:[Column13]])</f>
        <v>0</v>
      </c>
    </row>
    <row r="31" spans="2:15" s="3" customFormat="1" ht="22.8" hidden="1" customHeight="1" x14ac:dyDescent="0.3">
      <c r="B31" s="6" t="s">
        <v>13</v>
      </c>
      <c r="C31" s="40" t="s">
        <v>12</v>
      </c>
      <c r="D31" s="40" t="s">
        <v>11</v>
      </c>
      <c r="E31" s="40" t="s">
        <v>10</v>
      </c>
      <c r="F31" s="40" t="s">
        <v>9</v>
      </c>
      <c r="G31" s="40" t="s">
        <v>8</v>
      </c>
      <c r="H31" s="40" t="s">
        <v>7</v>
      </c>
      <c r="I31" s="40" t="s">
        <v>6</v>
      </c>
      <c r="J31" s="40" t="s">
        <v>5</v>
      </c>
      <c r="K31" s="40" t="s">
        <v>4</v>
      </c>
      <c r="L31" s="40" t="s">
        <v>3</v>
      </c>
      <c r="M31" s="40" t="s">
        <v>2</v>
      </c>
      <c r="N31" s="40" t="s">
        <v>1</v>
      </c>
      <c r="O31" s="41" t="s">
        <v>0</v>
      </c>
    </row>
    <row r="32" spans="2:15" s="3" customFormat="1" ht="22.8" customHeight="1" x14ac:dyDescent="0.3">
      <c r="B32" s="2" t="s">
        <v>46</v>
      </c>
      <c r="C32" s="32">
        <v>1600</v>
      </c>
      <c r="D32" s="32">
        <v>2400</v>
      </c>
      <c r="E32" s="32">
        <v>1400</v>
      </c>
      <c r="F32" s="32">
        <v>1600</v>
      </c>
      <c r="G32" s="32">
        <v>1200</v>
      </c>
      <c r="H32" s="32">
        <v>2800</v>
      </c>
      <c r="I32" s="32"/>
      <c r="J32" s="32"/>
      <c r="K32" s="32"/>
      <c r="L32" s="32"/>
      <c r="M32" s="32"/>
      <c r="N32" s="32"/>
      <c r="O32" s="33">
        <f>SUM(Table611[[#This Row],[Column2]:[Column13]])</f>
        <v>11000</v>
      </c>
    </row>
    <row r="33" spans="2:15" ht="22.8" customHeight="1" x14ac:dyDescent="0.3">
      <c r="B33" s="2" t="s">
        <v>47</v>
      </c>
      <c r="C33" s="32">
        <v>1200</v>
      </c>
      <c r="D33" s="32">
        <v>2200</v>
      </c>
      <c r="E33" s="32">
        <v>1400</v>
      </c>
      <c r="F33" s="32">
        <v>1200</v>
      </c>
      <c r="G33" s="32">
        <v>800</v>
      </c>
      <c r="H33" s="32">
        <v>3500</v>
      </c>
      <c r="I33" s="32"/>
      <c r="J33" s="32"/>
      <c r="K33" s="32"/>
      <c r="L33" s="32"/>
      <c r="M33" s="32"/>
      <c r="N33" s="32"/>
      <c r="O33" s="33">
        <f>SUM(Table611[[#This Row],[Column2]:[Column13]])</f>
        <v>10300</v>
      </c>
    </row>
    <row r="34" spans="2:15" ht="22.8" customHeight="1" x14ac:dyDescent="0.3">
      <c r="B34" s="1" t="s">
        <v>29</v>
      </c>
      <c r="C34" s="34">
        <f t="shared" ref="C34:O34" si="3">SUBTOTAL(109,C32:C33)</f>
        <v>2800</v>
      </c>
      <c r="D34" s="34">
        <f t="shared" si="3"/>
        <v>4600</v>
      </c>
      <c r="E34" s="34">
        <f t="shared" si="3"/>
        <v>2800</v>
      </c>
      <c r="F34" s="34">
        <f t="shared" si="3"/>
        <v>2800</v>
      </c>
      <c r="G34" s="34">
        <f t="shared" si="3"/>
        <v>2000</v>
      </c>
      <c r="H34" s="34">
        <f t="shared" si="3"/>
        <v>6300</v>
      </c>
      <c r="I34" s="34">
        <f t="shared" si="3"/>
        <v>0</v>
      </c>
      <c r="J34" s="34">
        <f t="shared" si="3"/>
        <v>0</v>
      </c>
      <c r="K34" s="34">
        <f t="shared" si="3"/>
        <v>0</v>
      </c>
      <c r="L34" s="34">
        <f t="shared" si="3"/>
        <v>0</v>
      </c>
      <c r="M34" s="34">
        <f t="shared" si="3"/>
        <v>0</v>
      </c>
      <c r="N34" s="34">
        <f t="shared" si="3"/>
        <v>0</v>
      </c>
      <c r="O34" s="34">
        <f t="shared" si="3"/>
        <v>21300</v>
      </c>
    </row>
    <row r="35" spans="2:15" ht="22.8" customHeight="1" x14ac:dyDescent="0.3">
      <c r="B35" s="14" t="s">
        <v>48</v>
      </c>
      <c r="C35" s="42">
        <f t="shared" ref="C35:N35" si="4">+C34+C29+C20+C9</f>
        <v>129682</v>
      </c>
      <c r="D35" s="42">
        <f t="shared" si="4"/>
        <v>127804</v>
      </c>
      <c r="E35" s="42">
        <f t="shared" si="4"/>
        <v>125565</v>
      </c>
      <c r="F35" s="42">
        <f t="shared" si="4"/>
        <v>137394</v>
      </c>
      <c r="G35" s="42">
        <f t="shared" si="4"/>
        <v>128255</v>
      </c>
      <c r="H35" s="42">
        <f t="shared" si="4"/>
        <v>134239</v>
      </c>
      <c r="I35" s="42">
        <f t="shared" si="4"/>
        <v>0</v>
      </c>
      <c r="J35" s="42">
        <f t="shared" si="4"/>
        <v>0</v>
      </c>
      <c r="K35" s="42">
        <f t="shared" si="4"/>
        <v>0</v>
      </c>
      <c r="L35" s="42">
        <f t="shared" si="4"/>
        <v>0</v>
      </c>
      <c r="M35" s="42">
        <f t="shared" si="4"/>
        <v>0</v>
      </c>
      <c r="N35" s="42">
        <f t="shared" si="4"/>
        <v>0</v>
      </c>
      <c r="O35" s="42">
        <f>SUM(C35:N35)</f>
        <v>782939</v>
      </c>
    </row>
    <row r="36" spans="2:15" ht="22.8" customHeight="1" x14ac:dyDescent="0.3">
      <c r="B36" s="14" t="s">
        <v>49</v>
      </c>
      <c r="C36" s="42">
        <f>+C35</f>
        <v>129682</v>
      </c>
      <c r="D36" s="42">
        <f>+D35+C35</f>
        <v>257486</v>
      </c>
      <c r="E36" s="42">
        <f t="shared" ref="E36:M36" si="5">+E35+D36</f>
        <v>383051</v>
      </c>
      <c r="F36" s="42">
        <f t="shared" si="5"/>
        <v>520445</v>
      </c>
      <c r="G36" s="42">
        <f t="shared" si="5"/>
        <v>648700</v>
      </c>
      <c r="H36" s="42">
        <f t="shared" si="5"/>
        <v>782939</v>
      </c>
      <c r="I36" s="42">
        <f t="shared" si="5"/>
        <v>782939</v>
      </c>
      <c r="J36" s="42">
        <f t="shared" si="5"/>
        <v>782939</v>
      </c>
      <c r="K36" s="42">
        <f t="shared" si="5"/>
        <v>782939</v>
      </c>
      <c r="L36" s="42">
        <f t="shared" si="5"/>
        <v>782939</v>
      </c>
      <c r="M36" s="42">
        <f t="shared" si="5"/>
        <v>782939</v>
      </c>
      <c r="N36" s="42">
        <v>1609630</v>
      </c>
      <c r="O36" s="42">
        <f>+N36+O35</f>
        <v>2392569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1:O36"/>
  <sheetViews>
    <sheetView showGridLines="0" topLeftCell="A19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2.21875" customWidth="1"/>
    <col min="3" max="13" width="13.21875" customWidth="1"/>
    <col min="14" max="14" width="14.44140625" customWidth="1"/>
    <col min="15" max="15" width="15.6640625" customWidth="1"/>
  </cols>
  <sheetData>
    <row r="1" spans="2:15" ht="18" customHeight="1" x14ac:dyDescent="0.3"/>
    <row r="2" spans="2:15" ht="24" customHeight="1" x14ac:dyDescent="0.3">
      <c r="B2" s="26" t="s">
        <v>65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2:15" ht="16.2" customHeight="1" x14ac:dyDescent="0.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</row>
    <row r="5" spans="2:15" s="7" customFormat="1" ht="28.2" customHeight="1" x14ac:dyDescent="0.3">
      <c r="B5" s="6" t="s">
        <v>26</v>
      </c>
      <c r="C5" s="9" t="s">
        <v>50</v>
      </c>
      <c r="D5" s="9" t="s">
        <v>51</v>
      </c>
      <c r="E5" s="9" t="s">
        <v>52</v>
      </c>
      <c r="F5" s="9" t="s">
        <v>53</v>
      </c>
      <c r="G5" s="9" t="s">
        <v>54</v>
      </c>
      <c r="H5" s="9" t="s">
        <v>55</v>
      </c>
      <c r="I5" s="9" t="s">
        <v>56</v>
      </c>
      <c r="J5" s="9" t="s">
        <v>14</v>
      </c>
      <c r="K5" s="9" t="s">
        <v>57</v>
      </c>
      <c r="L5" s="9" t="s">
        <v>58</v>
      </c>
      <c r="M5" s="9" t="s">
        <v>59</v>
      </c>
      <c r="N5" s="9" t="s">
        <v>60</v>
      </c>
      <c r="O5" s="8" t="s">
        <v>61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SUM(Table1812[[#This Row],[Janeiro]:[Dezembro]])</f>
        <v>0</v>
      </c>
    </row>
    <row r="7" spans="2:15" s="3" customFormat="1" ht="20.399999999999999" customHeight="1" x14ac:dyDescent="0.3">
      <c r="B7" s="2" t="s">
        <v>27</v>
      </c>
      <c r="C7" s="32">
        <f>+Table1[[#This Row],[Janeiro]]-Table18[[#This Row],[Janeiro]]</f>
        <v>0</v>
      </c>
      <c r="D7" s="32">
        <f>+Table1[[#This Row],[Fevereiro]]-Table18[[#This Row],[Fevereiro]]</f>
        <v>0</v>
      </c>
      <c r="E7" s="32">
        <f>+Table1[[#This Row],[Março]]-Table18[[#This Row],[Março]]</f>
        <v>0</v>
      </c>
      <c r="F7" s="32">
        <f>+Table1[[#This Row],[Abril]]-Table18[[#This Row],[Abril]]</f>
        <v>-500</v>
      </c>
      <c r="G7" s="32">
        <f>+Table1[[#This Row],[Maio]]-Table18[[#This Row],[Maio]]</f>
        <v>-500</v>
      </c>
      <c r="H7" s="32">
        <f>+Table1[[#This Row],[Junho]]-Table18[[#This Row],[Junho]]</f>
        <v>-500</v>
      </c>
      <c r="I7" s="32">
        <f>+Table1[[#This Row],[Julho]]-Table18[[#This Row],[Julho]]</f>
        <v>87500</v>
      </c>
      <c r="J7" s="32">
        <f>+Table1[[#This Row],[Agosto]]-Table18[[#This Row],[Agosto]]</f>
        <v>92400</v>
      </c>
      <c r="K7" s="32">
        <f>+Table1[[#This Row],[Setembro]]-Table18[[#This Row],[Setembro]]</f>
        <v>92400</v>
      </c>
      <c r="L7" s="32">
        <f>+Table1[[#This Row],[Outubro]]-Table18[[#This Row],[Outubro]]</f>
        <v>92400</v>
      </c>
      <c r="M7" s="32">
        <f>+Table1[[#This Row],[Novembro]]-Table18[[#This Row],[Novembro]]</f>
        <v>92400</v>
      </c>
      <c r="N7" s="32">
        <f>+Table1[[#This Row],[Dezembro]]-Table18[[#This Row],[Dezembro]]</f>
        <v>92400</v>
      </c>
      <c r="O7" s="33">
        <f>SUM(Table1812[[#This Row],[Janeiro]:[Dezembro]])</f>
        <v>548000</v>
      </c>
    </row>
    <row r="8" spans="2:15" s="3" customFormat="1" ht="20.399999999999999" customHeight="1" x14ac:dyDescent="0.3">
      <c r="B8" s="2" t="s">
        <v>28</v>
      </c>
      <c r="C8" s="32">
        <f>+Table1[[#This Row],[Janeiro]]-Table18[[#This Row],[Janeiro]]</f>
        <v>0</v>
      </c>
      <c r="D8" s="32">
        <f>+Table1[[#This Row],[Fevereiro]]-Table18[[#This Row],[Fevereiro]]</f>
        <v>0</v>
      </c>
      <c r="E8" s="32">
        <f>+Table1[[#This Row],[Março]]-Table18[[#This Row],[Março]]</f>
        <v>0</v>
      </c>
      <c r="F8" s="32">
        <f>+Table1[[#This Row],[Abril]]-Table18[[#This Row],[Abril]]</f>
        <v>-135</v>
      </c>
      <c r="G8" s="32">
        <f>+Table1[[#This Row],[Maio]]-Table18[[#This Row],[Maio]]</f>
        <v>-135</v>
      </c>
      <c r="H8" s="32">
        <f>+Table1[[#This Row],[Junho]]-Table18[[#This Row],[Junho]]</f>
        <v>-135</v>
      </c>
      <c r="I8" s="32">
        <f>+Table1[[#This Row],[Julho]]-Table18[[#This Row],[Julho]]</f>
        <v>23625</v>
      </c>
      <c r="J8" s="32">
        <f>+Table1[[#This Row],[Agosto]]-Table18[[#This Row],[Agosto]]</f>
        <v>24948</v>
      </c>
      <c r="K8" s="32">
        <f>+Table1[[#This Row],[Setembro]]-Table18[[#This Row],[Setembro]]</f>
        <v>24948</v>
      </c>
      <c r="L8" s="32">
        <f>+Table1[[#This Row],[Outubro]]-Table18[[#This Row],[Outubro]]</f>
        <v>24948</v>
      </c>
      <c r="M8" s="32">
        <f>+Table1[[#This Row],[Novembro]]-Table18[[#This Row],[Novembro]]</f>
        <v>24948</v>
      </c>
      <c r="N8" s="32">
        <f>+Table1[[#This Row],[Dezembro]]-Table18[[#This Row],[Dezembro]]</f>
        <v>24948</v>
      </c>
      <c r="O8" s="33">
        <f>SUM(Table1812[[#This Row],[Janeiro]:[Dezembro]])</f>
        <v>147960</v>
      </c>
    </row>
    <row r="9" spans="2:15" ht="20.399999999999999" customHeight="1" x14ac:dyDescent="0.3">
      <c r="B9" s="1" t="s">
        <v>29</v>
      </c>
      <c r="C9" s="34">
        <f t="shared" ref="C9:O9" si="0">SUBTOTAL(109,C7:C8)</f>
        <v>0</v>
      </c>
      <c r="D9" s="34">
        <f t="shared" si="0"/>
        <v>0</v>
      </c>
      <c r="E9" s="34">
        <f t="shared" si="0"/>
        <v>0</v>
      </c>
      <c r="F9" s="34">
        <f t="shared" si="0"/>
        <v>-635</v>
      </c>
      <c r="G9" s="34">
        <f t="shared" si="0"/>
        <v>-635</v>
      </c>
      <c r="H9" s="34">
        <f t="shared" si="0"/>
        <v>-635</v>
      </c>
      <c r="I9" s="34">
        <f t="shared" si="0"/>
        <v>111125</v>
      </c>
      <c r="J9" s="34">
        <f t="shared" si="0"/>
        <v>117348</v>
      </c>
      <c r="K9" s="34">
        <f t="shared" si="0"/>
        <v>117348</v>
      </c>
      <c r="L9" s="34">
        <f t="shared" si="0"/>
        <v>117348</v>
      </c>
      <c r="M9" s="34">
        <f t="shared" si="0"/>
        <v>117348</v>
      </c>
      <c r="N9" s="34">
        <f t="shared" si="0"/>
        <v>117348</v>
      </c>
      <c r="O9" s="34">
        <f t="shared" si="0"/>
        <v>695960</v>
      </c>
    </row>
    <row r="10" spans="2:15" ht="20.399999999999999" customHeight="1" x14ac:dyDescent="0.3">
      <c r="B10" s="23" t="s">
        <v>18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7">
        <f>SUM(Table1812[[#This Row],[Janeiro]:[Dezembro]])</f>
        <v>0</v>
      </c>
    </row>
    <row r="11" spans="2:15" ht="20.399999999999999" hidden="1" customHeight="1" x14ac:dyDescent="0.3">
      <c r="B11" t="s">
        <v>13</v>
      </c>
      <c r="C11" s="37" t="s">
        <v>12</v>
      </c>
      <c r="D11" s="37" t="s">
        <v>11</v>
      </c>
      <c r="E11" s="37" t="s">
        <v>10</v>
      </c>
      <c r="F11" s="37" t="s">
        <v>9</v>
      </c>
      <c r="G11" s="37" t="s">
        <v>8</v>
      </c>
      <c r="H11" s="37" t="s">
        <v>7</v>
      </c>
      <c r="I11" s="37" t="s">
        <v>6</v>
      </c>
      <c r="J11" s="37" t="s">
        <v>5</v>
      </c>
      <c r="K11" s="37" t="s">
        <v>4</v>
      </c>
      <c r="L11" s="37" t="s">
        <v>3</v>
      </c>
      <c r="M11" s="37" t="s">
        <v>2</v>
      </c>
      <c r="N11" s="37" t="s">
        <v>1</v>
      </c>
      <c r="O11" s="37" t="s">
        <v>0</v>
      </c>
    </row>
    <row r="12" spans="2:15" s="3" customFormat="1" ht="20.399999999999999" customHeight="1" x14ac:dyDescent="0.3">
      <c r="B12" s="2" t="s">
        <v>30</v>
      </c>
      <c r="C12" s="32">
        <f>+Table4[[#This Row],[Column2]]-Table49[[#This Row],[Column2]]</f>
        <v>0</v>
      </c>
      <c r="D12" s="32">
        <f>+Table4[[#This Row],[Column3]]-Table49[[#This Row],[Column3]]</f>
        <v>0</v>
      </c>
      <c r="E12" s="32">
        <f>+Table4[[#This Row],[Column4]]-Table49[[#This Row],[Column4]]</f>
        <v>0</v>
      </c>
      <c r="F12" s="32">
        <f>+Table4[[#This Row],[Column5]]-Table49[[#This Row],[Column5]]</f>
        <v>0</v>
      </c>
      <c r="G12" s="32">
        <f>+Table4[[#This Row],[Column6]]-Table49[[#This Row],[Column6]]</f>
        <v>0</v>
      </c>
      <c r="H12" s="32">
        <f>+Table4[[#This Row],[Column7]]-Table49[[#This Row],[Column7]]</f>
        <v>0</v>
      </c>
      <c r="I12" s="32">
        <f>+Table4[[#This Row],[Column8]]-Table49[[#This Row],[Column8]]</f>
        <v>9800</v>
      </c>
      <c r="J12" s="32">
        <f>+Table4[[#This Row],[Column9]]-Table49[[#This Row],[Column9]]</f>
        <v>9800</v>
      </c>
      <c r="K12" s="32">
        <f>+Table4[[#This Row],[Column10]]-Table49[[#This Row],[Column10]]</f>
        <v>9800</v>
      </c>
      <c r="L12" s="32">
        <f>+Table4[[#This Row],[Column11]]-Table49[[#This Row],[Column11]]</f>
        <v>9800</v>
      </c>
      <c r="M12" s="32">
        <f>+Table4[[#This Row],[Column12]]-Table49[[#This Row],[Column12]]</f>
        <v>9800</v>
      </c>
      <c r="N12" s="32">
        <f>+Table4[[#This Row],[Column13]]-Table49[[#This Row],[Column13]]</f>
        <v>9800</v>
      </c>
      <c r="O12" s="33">
        <f>SUM(Table4913[[#This Row],[Column2]:[Column13]])</f>
        <v>58800</v>
      </c>
    </row>
    <row r="13" spans="2:15" s="3" customFormat="1" ht="20.399999999999999" customHeight="1" x14ac:dyDescent="0.3">
      <c r="B13" s="2" t="s">
        <v>31</v>
      </c>
      <c r="C13" s="32">
        <f>+Table4[[#This Row],[Column2]]-Table49[[#This Row],[Column2]]</f>
        <v>-4</v>
      </c>
      <c r="D13" s="32">
        <f>+Table4[[#This Row],[Column3]]-Table49[[#This Row],[Column3]]</f>
        <v>-30</v>
      </c>
      <c r="E13" s="32">
        <f>+Table4[[#This Row],[Column4]]-Table49[[#This Row],[Column4]]</f>
        <v>15</v>
      </c>
      <c r="F13" s="32">
        <f>+Table4[[#This Row],[Column5]]-Table49[[#This Row],[Column5]]</f>
        <v>-130</v>
      </c>
      <c r="G13" s="32">
        <f>+Table4[[#This Row],[Column6]]-Table49[[#This Row],[Column6]]</f>
        <v>13</v>
      </c>
      <c r="H13" s="32">
        <f>+Table4[[#This Row],[Column7]]-Table49[[#This Row],[Column7]]</f>
        <v>12</v>
      </c>
      <c r="I13" s="32">
        <f>+Table4[[#This Row],[Column8]]-Table49[[#This Row],[Column8]]</f>
        <v>100</v>
      </c>
      <c r="J13" s="32">
        <f>+Table4[[#This Row],[Column9]]-Table49[[#This Row],[Column9]]</f>
        <v>100</v>
      </c>
      <c r="K13" s="32">
        <f>+Table4[[#This Row],[Column10]]-Table49[[#This Row],[Column10]]</f>
        <v>100</v>
      </c>
      <c r="L13" s="32">
        <f>+Table4[[#This Row],[Column11]]-Table49[[#This Row],[Column11]]</f>
        <v>100</v>
      </c>
      <c r="M13" s="32">
        <f>+Table4[[#This Row],[Column12]]-Table49[[#This Row],[Column12]]</f>
        <v>400</v>
      </c>
      <c r="N13" s="32">
        <f>+Table4[[#This Row],[Column13]]-Table49[[#This Row],[Column13]]</f>
        <v>400</v>
      </c>
      <c r="O13" s="33">
        <f>SUM(Table4913[[#This Row],[Column2]:[Column13]])</f>
        <v>1076</v>
      </c>
    </row>
    <row r="14" spans="2:15" s="3" customFormat="1" ht="20.399999999999999" customHeight="1" x14ac:dyDescent="0.3">
      <c r="B14" s="2" t="s">
        <v>32</v>
      </c>
      <c r="C14" s="32">
        <f>+Table4[[#This Row],[Column2]]-Table49[[#This Row],[Column2]]</f>
        <v>12</v>
      </c>
      <c r="D14" s="32">
        <f>+Table4[[#This Row],[Column3]]-Table49[[#This Row],[Column3]]</f>
        <v>22</v>
      </c>
      <c r="E14" s="32">
        <f>+Table4[[#This Row],[Column4]]-Table49[[#This Row],[Column4]]</f>
        <v>32</v>
      </c>
      <c r="F14" s="32">
        <f>+Table4[[#This Row],[Column5]]-Table49[[#This Row],[Column5]]</f>
        <v>1</v>
      </c>
      <c r="G14" s="32">
        <f>+Table4[[#This Row],[Column6]]-Table49[[#This Row],[Column6]]</f>
        <v>-6</v>
      </c>
      <c r="H14" s="32">
        <f>+Table4[[#This Row],[Column7]]-Table49[[#This Row],[Column7]]</f>
        <v>10</v>
      </c>
      <c r="I14" s="32">
        <f>+Table4[[#This Row],[Column8]]-Table49[[#This Row],[Column8]]</f>
        <v>300</v>
      </c>
      <c r="J14" s="32">
        <f>+Table4[[#This Row],[Column9]]-Table49[[#This Row],[Column9]]</f>
        <v>300</v>
      </c>
      <c r="K14" s="32">
        <f>+Table4[[#This Row],[Column10]]-Table49[[#This Row],[Column10]]</f>
        <v>300</v>
      </c>
      <c r="L14" s="32">
        <f>+Table4[[#This Row],[Column11]]-Table49[[#This Row],[Column11]]</f>
        <v>300</v>
      </c>
      <c r="M14" s="32">
        <f>+Table4[[#This Row],[Column12]]-Table49[[#This Row],[Column12]]</f>
        <v>300</v>
      </c>
      <c r="N14" s="32">
        <f>+Table4[[#This Row],[Column13]]-Table49[[#This Row],[Column13]]</f>
        <v>300</v>
      </c>
      <c r="O14" s="33">
        <f>SUM(Table4913[[#This Row],[Column2]:[Column13]])</f>
        <v>1871</v>
      </c>
    </row>
    <row r="15" spans="2:15" s="3" customFormat="1" ht="20.399999999999999" customHeight="1" x14ac:dyDescent="0.3">
      <c r="B15" s="2" t="s">
        <v>33</v>
      </c>
      <c r="C15" s="32">
        <f>+Table4[[#This Row],[Column2]]-Table49[[#This Row],[Column2]]</f>
        <v>5</v>
      </c>
      <c r="D15" s="32">
        <f>+Table4[[#This Row],[Column3]]-Table49[[#This Row],[Column3]]</f>
        <v>7</v>
      </c>
      <c r="E15" s="32">
        <f>+Table4[[#This Row],[Column4]]-Table49[[#This Row],[Column4]]</f>
        <v>6</v>
      </c>
      <c r="F15" s="32">
        <f>+Table4[[#This Row],[Column5]]-Table49[[#This Row],[Column5]]</f>
        <v>4</v>
      </c>
      <c r="G15" s="32">
        <f>+Table4[[#This Row],[Column6]]-Table49[[#This Row],[Column6]]</f>
        <v>6</v>
      </c>
      <c r="H15" s="32">
        <f>+Table4[[#This Row],[Column7]]-Table49[[#This Row],[Column7]]</f>
        <v>4</v>
      </c>
      <c r="I15" s="32">
        <f>+Table4[[#This Row],[Column8]]-Table49[[#This Row],[Column8]]</f>
        <v>40</v>
      </c>
      <c r="J15" s="32">
        <f>+Table4[[#This Row],[Column9]]-Table49[[#This Row],[Column9]]</f>
        <v>40</v>
      </c>
      <c r="K15" s="32">
        <f>+Table4[[#This Row],[Column10]]-Table49[[#This Row],[Column10]]</f>
        <v>40</v>
      </c>
      <c r="L15" s="32">
        <f>+Table4[[#This Row],[Column11]]-Table49[[#This Row],[Column11]]</f>
        <v>40</v>
      </c>
      <c r="M15" s="32">
        <f>+Table4[[#This Row],[Column12]]-Table49[[#This Row],[Column12]]</f>
        <v>40</v>
      </c>
      <c r="N15" s="32">
        <f>+Table4[[#This Row],[Column13]]-Table49[[#This Row],[Column13]]</f>
        <v>40</v>
      </c>
      <c r="O15" s="33">
        <f>SUM(Table4913[[#This Row],[Column2]:[Column13]])</f>
        <v>272</v>
      </c>
    </row>
    <row r="16" spans="2:15" s="3" customFormat="1" ht="20.399999999999999" customHeight="1" x14ac:dyDescent="0.3">
      <c r="B16" s="2" t="s">
        <v>34</v>
      </c>
      <c r="C16" s="32">
        <f>+Table4[[#This Row],[Column2]]-Table49[[#This Row],[Column2]]</f>
        <v>26</v>
      </c>
      <c r="D16" s="32">
        <f>+Table4[[#This Row],[Column3]]-Table49[[#This Row],[Column3]]</f>
        <v>15</v>
      </c>
      <c r="E16" s="32">
        <f>+Table4[[#This Row],[Column4]]-Table49[[#This Row],[Column4]]</f>
        <v>-15</v>
      </c>
      <c r="F16" s="32">
        <f>+Table4[[#This Row],[Column5]]-Table49[[#This Row],[Column5]]</f>
        <v>5</v>
      </c>
      <c r="G16" s="32">
        <f>+Table4[[#This Row],[Column6]]-Table49[[#This Row],[Column6]]</f>
        <v>5</v>
      </c>
      <c r="H16" s="32">
        <f>+Table4[[#This Row],[Column7]]-Table49[[#This Row],[Column7]]</f>
        <v>30</v>
      </c>
      <c r="I16" s="32">
        <f>+Table4[[#This Row],[Column8]]-Table49[[#This Row],[Column8]]</f>
        <v>250</v>
      </c>
      <c r="J16" s="32">
        <f>+Table4[[#This Row],[Column9]]-Table49[[#This Row],[Column9]]</f>
        <v>250</v>
      </c>
      <c r="K16" s="32">
        <f>+Table4[[#This Row],[Column10]]-Table49[[#This Row],[Column10]]</f>
        <v>250</v>
      </c>
      <c r="L16" s="32">
        <f>+Table4[[#This Row],[Column11]]-Table49[[#This Row],[Column11]]</f>
        <v>250</v>
      </c>
      <c r="M16" s="32">
        <f>+Table4[[#This Row],[Column12]]-Table49[[#This Row],[Column12]]</f>
        <v>250</v>
      </c>
      <c r="N16" s="32">
        <f>+Table4[[#This Row],[Column13]]-Table49[[#This Row],[Column13]]</f>
        <v>250</v>
      </c>
      <c r="O16" s="33">
        <f>SUM(Table4913[[#This Row],[Column2]:[Column13]])</f>
        <v>1566</v>
      </c>
    </row>
    <row r="17" spans="2:15" s="3" customFormat="1" ht="20.399999999999999" customHeight="1" x14ac:dyDescent="0.3">
      <c r="B17" s="2" t="s">
        <v>35</v>
      </c>
      <c r="C17" s="32">
        <f>+Table4[[#This Row],[Column2]]-Table49[[#This Row],[Column2]]</f>
        <v>0</v>
      </c>
      <c r="D17" s="32">
        <f>+Table4[[#This Row],[Column3]]-Table49[[#This Row],[Column3]]</f>
        <v>0</v>
      </c>
      <c r="E17" s="32">
        <f>+Table4[[#This Row],[Column4]]-Table49[[#This Row],[Column4]]</f>
        <v>0</v>
      </c>
      <c r="F17" s="32">
        <f>+Table4[[#This Row],[Column5]]-Table49[[#This Row],[Column5]]</f>
        <v>0</v>
      </c>
      <c r="G17" s="32">
        <f>+Table4[[#This Row],[Column6]]-Table49[[#This Row],[Column6]]</f>
        <v>0</v>
      </c>
      <c r="H17" s="32">
        <f>+Table4[[#This Row],[Column7]]-Table49[[#This Row],[Column7]]</f>
        <v>0</v>
      </c>
      <c r="I17" s="32">
        <f>+Table4[[#This Row],[Column8]]-Table49[[#This Row],[Column8]]</f>
        <v>180</v>
      </c>
      <c r="J17" s="32">
        <f>+Table4[[#This Row],[Column9]]-Table49[[#This Row],[Column9]]</f>
        <v>180</v>
      </c>
      <c r="K17" s="32">
        <f>+Table4[[#This Row],[Column10]]-Table49[[#This Row],[Column10]]</f>
        <v>180</v>
      </c>
      <c r="L17" s="32">
        <f>+Table4[[#This Row],[Column11]]-Table49[[#This Row],[Column11]]</f>
        <v>180</v>
      </c>
      <c r="M17" s="32">
        <f>+Table4[[#This Row],[Column12]]-Table49[[#This Row],[Column12]]</f>
        <v>180</v>
      </c>
      <c r="N17" s="32">
        <f>+Table4[[#This Row],[Column13]]-Table49[[#This Row],[Column13]]</f>
        <v>180</v>
      </c>
      <c r="O17" s="33">
        <f>SUM(Table4913[[#This Row],[Column2]:[Column13]])</f>
        <v>1080</v>
      </c>
    </row>
    <row r="18" spans="2:15" s="3" customFormat="1" ht="20.399999999999999" customHeight="1" x14ac:dyDescent="0.3">
      <c r="B18" s="2" t="s">
        <v>36</v>
      </c>
      <c r="C18" s="32">
        <f>+Table4[[#This Row],[Column2]]-Table49[[#This Row],[Column2]]</f>
        <v>-56</v>
      </c>
      <c r="D18" s="32">
        <f>+Table4[[#This Row],[Column3]]-Table49[[#This Row],[Column3]]</f>
        <v>58</v>
      </c>
      <c r="E18" s="32">
        <f>+Table4[[#This Row],[Column4]]-Table49[[#This Row],[Column4]]</f>
        <v>40</v>
      </c>
      <c r="F18" s="32">
        <f>+Table4[[#This Row],[Column5]]-Table49[[#This Row],[Column5]]</f>
        <v>-21</v>
      </c>
      <c r="G18" s="32">
        <f>+Table4[[#This Row],[Column6]]-Table49[[#This Row],[Column6]]</f>
        <v>-56</v>
      </c>
      <c r="H18" s="32">
        <f>+Table4[[#This Row],[Column7]]-Table49[[#This Row],[Column7]]</f>
        <v>-40</v>
      </c>
      <c r="I18" s="32">
        <f>+Table4[[#This Row],[Column8]]-Table49[[#This Row],[Column8]]</f>
        <v>200</v>
      </c>
      <c r="J18" s="32">
        <f>+Table4[[#This Row],[Column9]]-Table49[[#This Row],[Column9]]</f>
        <v>200</v>
      </c>
      <c r="K18" s="32">
        <f>+Table4[[#This Row],[Column10]]-Table49[[#This Row],[Column10]]</f>
        <v>200</v>
      </c>
      <c r="L18" s="32">
        <f>+Table4[[#This Row],[Column11]]-Table49[[#This Row],[Column11]]</f>
        <v>200</v>
      </c>
      <c r="M18" s="32">
        <f>+Table4[[#This Row],[Column12]]-Table49[[#This Row],[Column12]]</f>
        <v>200</v>
      </c>
      <c r="N18" s="32">
        <f>+Table4[[#This Row],[Column13]]-Table49[[#This Row],[Column13]]</f>
        <v>200</v>
      </c>
      <c r="O18" s="33">
        <f>SUM(Table4913[[#This Row],[Column2]:[Column13]])</f>
        <v>1125</v>
      </c>
    </row>
    <row r="19" spans="2:15" s="3" customFormat="1" ht="20.399999999999999" customHeight="1" x14ac:dyDescent="0.3">
      <c r="B19" s="2" t="s">
        <v>37</v>
      </c>
      <c r="C19" s="32">
        <f>+Table4[[#This Row],[Column2]]-Table49[[#This Row],[Column2]]</f>
        <v>0</v>
      </c>
      <c r="D19" s="32">
        <f>+Table4[[#This Row],[Column3]]-Table49[[#This Row],[Column3]]</f>
        <v>0</v>
      </c>
      <c r="E19" s="32">
        <f>+Table4[[#This Row],[Column4]]-Table49[[#This Row],[Column4]]</f>
        <v>0</v>
      </c>
      <c r="F19" s="32">
        <f>+Table4[[#This Row],[Column5]]-Table49[[#This Row],[Column5]]</f>
        <v>0</v>
      </c>
      <c r="G19" s="32">
        <f>+Table4[[#This Row],[Column6]]-Table49[[#This Row],[Column6]]</f>
        <v>0</v>
      </c>
      <c r="H19" s="32">
        <f>+Table4[[#This Row],[Column7]]-Table49[[#This Row],[Column7]]</f>
        <v>0</v>
      </c>
      <c r="I19" s="32">
        <f>+Table4[[#This Row],[Column8]]-Table49[[#This Row],[Column8]]</f>
        <v>600</v>
      </c>
      <c r="J19" s="32">
        <f>+Table4[[#This Row],[Column9]]-Table49[[#This Row],[Column9]]</f>
        <v>600</v>
      </c>
      <c r="K19" s="32">
        <f>+Table4[[#This Row],[Column10]]-Table49[[#This Row],[Column10]]</f>
        <v>600</v>
      </c>
      <c r="L19" s="32">
        <f>+Table4[[#This Row],[Column11]]-Table49[[#This Row],[Column11]]</f>
        <v>600</v>
      </c>
      <c r="M19" s="32">
        <f>+Table4[[#This Row],[Column12]]-Table49[[#This Row],[Column12]]</f>
        <v>600</v>
      </c>
      <c r="N19" s="32">
        <f>+Table4[[#This Row],[Column13]]-Table49[[#This Row],[Column13]]</f>
        <v>600</v>
      </c>
      <c r="O19" s="33">
        <f>SUM(Table4913[[#This Row],[Column2]:[Column13]])</f>
        <v>3600</v>
      </c>
    </row>
    <row r="20" spans="2:15" ht="20.399999999999999" customHeight="1" x14ac:dyDescent="0.3">
      <c r="B20" s="1" t="s">
        <v>38</v>
      </c>
      <c r="C20" s="34">
        <f t="shared" ref="C20:N20" si="1">SUBTOTAL(109,C12:C19)</f>
        <v>-17</v>
      </c>
      <c r="D20" s="34">
        <f t="shared" si="1"/>
        <v>72</v>
      </c>
      <c r="E20" s="34">
        <f t="shared" si="1"/>
        <v>78</v>
      </c>
      <c r="F20" s="34">
        <f t="shared" si="1"/>
        <v>-141</v>
      </c>
      <c r="G20" s="34">
        <f t="shared" si="1"/>
        <v>-38</v>
      </c>
      <c r="H20" s="34">
        <f t="shared" si="1"/>
        <v>16</v>
      </c>
      <c r="I20" s="34">
        <f t="shared" si="1"/>
        <v>11470</v>
      </c>
      <c r="J20" s="34">
        <f t="shared" si="1"/>
        <v>11470</v>
      </c>
      <c r="K20" s="34">
        <f t="shared" si="1"/>
        <v>11470</v>
      </c>
      <c r="L20" s="34">
        <f t="shared" si="1"/>
        <v>11470</v>
      </c>
      <c r="M20" s="34">
        <f t="shared" si="1"/>
        <v>11770</v>
      </c>
      <c r="N20" s="34">
        <f t="shared" si="1"/>
        <v>11770</v>
      </c>
      <c r="O20" s="34">
        <f>SUM(Table4913[[#This Row],[Column2]:[Column13]])</f>
        <v>69390</v>
      </c>
    </row>
    <row r="21" spans="2:15" ht="20.399999999999999" customHeight="1" x14ac:dyDescent="0.3">
      <c r="B21" s="24" t="s">
        <v>19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>
        <f>SUM(Table4913[[#This Row],[Column2]:[Column13]])</f>
        <v>0</v>
      </c>
    </row>
    <row r="22" spans="2:15" ht="20.399999999999999" hidden="1" customHeight="1" x14ac:dyDescent="0.3">
      <c r="B22" t="s">
        <v>13</v>
      </c>
      <c r="C22" s="37" t="s">
        <v>12</v>
      </c>
      <c r="D22" s="37" t="s">
        <v>11</v>
      </c>
      <c r="E22" s="37" t="s">
        <v>10</v>
      </c>
      <c r="F22" s="37" t="s">
        <v>9</v>
      </c>
      <c r="G22" s="37" t="s">
        <v>8</v>
      </c>
      <c r="H22" s="37" t="s">
        <v>7</v>
      </c>
      <c r="I22" s="37" t="s">
        <v>6</v>
      </c>
      <c r="J22" s="37" t="s">
        <v>5</v>
      </c>
      <c r="K22" s="37" t="s">
        <v>4</v>
      </c>
      <c r="L22" s="37" t="s">
        <v>3</v>
      </c>
      <c r="M22" s="37" t="s">
        <v>2</v>
      </c>
      <c r="N22" s="37" t="s">
        <v>1</v>
      </c>
      <c r="O22" s="37" t="s">
        <v>0</v>
      </c>
    </row>
    <row r="23" spans="2:15" s="3" customFormat="1" ht="20.399999999999999" customHeight="1" x14ac:dyDescent="0.3">
      <c r="B23" s="2" t="s">
        <v>39</v>
      </c>
      <c r="C23" s="32">
        <f>+Table5[[#This Row],[Column2]]-Table510[[#This Row],[Column2]]</f>
        <v>0</v>
      </c>
      <c r="D23" s="32">
        <f>+Table5[[#This Row],[Column3]]-Table510[[#This Row],[Column3]]</f>
        <v>0</v>
      </c>
      <c r="E23" s="32">
        <f>+Table5[[#This Row],[Column4]]-Table510[[#This Row],[Column4]]</f>
        <v>0</v>
      </c>
      <c r="F23" s="32">
        <f>+Table5[[#This Row],[Column5]]-Table510[[#This Row],[Column5]]</f>
        <v>0</v>
      </c>
      <c r="G23" s="32">
        <f>+Table5[[#This Row],[Column6]]-Table510[[#This Row],[Column6]]</f>
        <v>0</v>
      </c>
      <c r="H23" s="32">
        <f>+Table5[[#This Row],[Column7]]-Table510[[#This Row],[Column7]]</f>
        <v>0</v>
      </c>
      <c r="I23" s="32">
        <f>+Table5[[#This Row],[Column8]]-Table510[[#This Row],[Column8]]</f>
        <v>500</v>
      </c>
      <c r="J23" s="32">
        <f>+Table5[[#This Row],[Column9]]-Table510[[#This Row],[Column9]]</f>
        <v>500</v>
      </c>
      <c r="K23" s="32">
        <f>+Table5[[#This Row],[Column10]]-Table510[[#This Row],[Column10]]</f>
        <v>500</v>
      </c>
      <c r="L23" s="32">
        <f>+Table5[[#This Row],[Column11]]-Table510[[#This Row],[Column11]]</f>
        <v>500</v>
      </c>
      <c r="M23" s="32">
        <f>+Table5[[#This Row],[Column12]]-Table510[[#This Row],[Column12]]</f>
        <v>500</v>
      </c>
      <c r="N23" s="32">
        <f>+Table5[[#This Row],[Column13]]-Table510[[#This Row],[Column13]]</f>
        <v>500</v>
      </c>
      <c r="O23" s="33">
        <f>SUM(Table51014[[#This Row],[Column2]:[Column13]])</f>
        <v>3000</v>
      </c>
    </row>
    <row r="24" spans="2:15" s="3" customFormat="1" ht="20.399999999999999" customHeight="1" x14ac:dyDescent="0.3">
      <c r="B24" s="2" t="s">
        <v>40</v>
      </c>
      <c r="C24" s="32">
        <f>+Table5[[#This Row],[Column2]]-Table510[[#This Row],[Column2]]</f>
        <v>0</v>
      </c>
      <c r="D24" s="32">
        <f>+Table5[[#This Row],[Column3]]-Table510[[#This Row],[Column3]]</f>
        <v>0</v>
      </c>
      <c r="E24" s="32">
        <f>+Table5[[#This Row],[Column4]]-Table510[[#This Row],[Column4]]</f>
        <v>0</v>
      </c>
      <c r="F24" s="32">
        <f>+Table5[[#This Row],[Column5]]-Table510[[#This Row],[Column5]]</f>
        <v>0</v>
      </c>
      <c r="G24" s="32">
        <f>+Table5[[#This Row],[Column6]]-Table510[[#This Row],[Column6]]</f>
        <v>0</v>
      </c>
      <c r="H24" s="32">
        <f>+Table5[[#This Row],[Column7]]-Table510[[#This Row],[Column7]]</f>
        <v>-500</v>
      </c>
      <c r="I24" s="32">
        <f>+Table5[[#This Row],[Column8]]-Table510[[#This Row],[Column8]]</f>
        <v>200</v>
      </c>
      <c r="J24" s="32">
        <f>+Table5[[#This Row],[Column9]]-Table510[[#This Row],[Column9]]</f>
        <v>200</v>
      </c>
      <c r="K24" s="32">
        <f>+Table5[[#This Row],[Column10]]-Table510[[#This Row],[Column10]]</f>
        <v>200</v>
      </c>
      <c r="L24" s="32">
        <f>+Table5[[#This Row],[Column11]]-Table510[[#This Row],[Column11]]</f>
        <v>200</v>
      </c>
      <c r="M24" s="32">
        <f>+Table5[[#This Row],[Column12]]-Table510[[#This Row],[Column12]]</f>
        <v>200</v>
      </c>
      <c r="N24" s="32">
        <f>+Table5[[#This Row],[Column13]]-Table510[[#This Row],[Column13]]</f>
        <v>1000</v>
      </c>
      <c r="O24" s="33">
        <f>SUM(Table51014[[#This Row],[Column2]:[Column13]])</f>
        <v>1500</v>
      </c>
    </row>
    <row r="25" spans="2:15" s="3" customFormat="1" ht="20.399999999999999" customHeight="1" x14ac:dyDescent="0.3">
      <c r="B25" s="2" t="s">
        <v>41</v>
      </c>
      <c r="C25" s="32">
        <f>+Table5[[#This Row],[Column2]]-Table510[[#This Row],[Column2]]</f>
        <v>200</v>
      </c>
      <c r="D25" s="32">
        <f>+Table5[[#This Row],[Column3]]-Table510[[#This Row],[Column3]]</f>
        <v>0</v>
      </c>
      <c r="E25" s="32">
        <f>+Table5[[#This Row],[Column4]]-Table510[[#This Row],[Column4]]</f>
        <v>0</v>
      </c>
      <c r="F25" s="32">
        <f>+Table5[[#This Row],[Column5]]-Table510[[#This Row],[Column5]]</f>
        <v>-500</v>
      </c>
      <c r="G25" s="32">
        <f>+Table5[[#This Row],[Column6]]-Table510[[#This Row],[Column6]]</f>
        <v>0</v>
      </c>
      <c r="H25" s="32">
        <f>+Table5[[#This Row],[Column7]]-Table510[[#This Row],[Column7]]</f>
        <v>0</v>
      </c>
      <c r="I25" s="32">
        <f>+Table5[[#This Row],[Column8]]-Table510[[#This Row],[Column8]]</f>
        <v>5000</v>
      </c>
      <c r="J25" s="32">
        <f>+Table5[[#This Row],[Column9]]-Table510[[#This Row],[Column9]]</f>
        <v>0</v>
      </c>
      <c r="K25" s="32">
        <f>+Table5[[#This Row],[Column10]]-Table510[[#This Row],[Column10]]</f>
        <v>0</v>
      </c>
      <c r="L25" s="32">
        <f>+Table5[[#This Row],[Column11]]-Table510[[#This Row],[Column11]]</f>
        <v>5000</v>
      </c>
      <c r="M25" s="32">
        <f>+Table5[[#This Row],[Column12]]-Table510[[#This Row],[Column12]]</f>
        <v>0</v>
      </c>
      <c r="N25" s="32">
        <f>+Table5[[#This Row],[Column13]]-Table510[[#This Row],[Column13]]</f>
        <v>0</v>
      </c>
      <c r="O25" s="33">
        <f>SUM(Table51014[[#This Row],[Column2]:[Column13]])</f>
        <v>9700</v>
      </c>
    </row>
    <row r="26" spans="2:15" s="3" customFormat="1" ht="20.399999999999999" customHeight="1" x14ac:dyDescent="0.3">
      <c r="B26" s="2" t="s">
        <v>42</v>
      </c>
      <c r="C26" s="32">
        <f>+Table5[[#This Row],[Column2]]-Table510[[#This Row],[Column2]]</f>
        <v>100</v>
      </c>
      <c r="D26" s="32">
        <f>+Table5[[#This Row],[Column3]]-Table510[[#This Row],[Column3]]</f>
        <v>-300</v>
      </c>
      <c r="E26" s="32">
        <f>+Table5[[#This Row],[Column4]]-Table510[[#This Row],[Column4]]</f>
        <v>100</v>
      </c>
      <c r="F26" s="32">
        <f>+Table5[[#This Row],[Column5]]-Table510[[#This Row],[Column5]]</f>
        <v>100</v>
      </c>
      <c r="G26" s="32">
        <f>+Table5[[#This Row],[Column6]]-Table510[[#This Row],[Column6]]</f>
        <v>-400</v>
      </c>
      <c r="H26" s="32">
        <f>+Table5[[#This Row],[Column7]]-Table510[[#This Row],[Column7]]</f>
        <v>20</v>
      </c>
      <c r="I26" s="32">
        <f>+Table5[[#This Row],[Column8]]-Table510[[#This Row],[Column8]]</f>
        <v>200</v>
      </c>
      <c r="J26" s="32">
        <f>+Table5[[#This Row],[Column9]]-Table510[[#This Row],[Column9]]</f>
        <v>200</v>
      </c>
      <c r="K26" s="32">
        <f>+Table5[[#This Row],[Column10]]-Table510[[#This Row],[Column10]]</f>
        <v>200</v>
      </c>
      <c r="L26" s="32">
        <f>+Table5[[#This Row],[Column11]]-Table510[[#This Row],[Column11]]</f>
        <v>200</v>
      </c>
      <c r="M26" s="32">
        <f>+Table5[[#This Row],[Column12]]-Table510[[#This Row],[Column12]]</f>
        <v>200</v>
      </c>
      <c r="N26" s="32">
        <f>+Table5[[#This Row],[Column13]]-Table510[[#This Row],[Column13]]</f>
        <v>200</v>
      </c>
      <c r="O26" s="33">
        <f>SUM(Table51014[[#This Row],[Column2]:[Column13]])</f>
        <v>820</v>
      </c>
    </row>
    <row r="27" spans="2:15" s="3" customFormat="1" ht="20.399999999999999" customHeight="1" x14ac:dyDescent="0.3">
      <c r="B27" s="2" t="s">
        <v>43</v>
      </c>
      <c r="C27" s="32">
        <f>+Table5[[#This Row],[Column2]]-Table510[[#This Row],[Column2]]</f>
        <v>200</v>
      </c>
      <c r="D27" s="32">
        <f>+Table5[[#This Row],[Column3]]-Table510[[#This Row],[Column3]]</f>
        <v>-200</v>
      </c>
      <c r="E27" s="32">
        <f>+Table5[[#This Row],[Column4]]-Table510[[#This Row],[Column4]]</f>
        <v>-200</v>
      </c>
      <c r="F27" s="32">
        <f>+Table5[[#This Row],[Column5]]-Table510[[#This Row],[Column5]]</f>
        <v>300</v>
      </c>
      <c r="G27" s="32">
        <f>+Table5[[#This Row],[Column6]]-Table510[[#This Row],[Column6]]</f>
        <v>500</v>
      </c>
      <c r="H27" s="32">
        <f>+Table5[[#This Row],[Column7]]-Table510[[#This Row],[Column7]]</f>
        <v>-300</v>
      </c>
      <c r="I27" s="32">
        <f>+Table5[[#This Row],[Column8]]-Table510[[#This Row],[Column8]]</f>
        <v>2000</v>
      </c>
      <c r="J27" s="32">
        <f>+Table5[[#This Row],[Column9]]-Table510[[#This Row],[Column9]]</f>
        <v>5000</v>
      </c>
      <c r="K27" s="32">
        <f>+Table5[[#This Row],[Column10]]-Table510[[#This Row],[Column10]]</f>
        <v>2000</v>
      </c>
      <c r="L27" s="32">
        <f>+Table5[[#This Row],[Column11]]-Table510[[#This Row],[Column11]]</f>
        <v>2000</v>
      </c>
      <c r="M27" s="32">
        <f>+Table5[[#This Row],[Column12]]-Table510[[#This Row],[Column12]]</f>
        <v>2000</v>
      </c>
      <c r="N27" s="32">
        <f>+Table5[[#This Row],[Column13]]-Table510[[#This Row],[Column13]]</f>
        <v>5000</v>
      </c>
      <c r="O27" s="33">
        <f>SUM(Table51014[[#This Row],[Column2]:[Column13]])</f>
        <v>18300</v>
      </c>
    </row>
    <row r="28" spans="2:15" s="3" customFormat="1" ht="20.399999999999999" customHeight="1" x14ac:dyDescent="0.3">
      <c r="B28" s="2" t="s">
        <v>44</v>
      </c>
      <c r="C28" s="32">
        <f>+Table5[[#This Row],[Column2]]-Table510[[#This Row],[Column2]]</f>
        <v>55</v>
      </c>
      <c r="D28" s="32">
        <f>+Table5[[#This Row],[Column3]]-Table510[[#This Row],[Column3]]</f>
        <v>44</v>
      </c>
      <c r="E28" s="32">
        <f>+Table5[[#This Row],[Column4]]-Table510[[#This Row],[Column4]]</f>
        <v>77</v>
      </c>
      <c r="F28" s="32">
        <f>+Table5[[#This Row],[Column5]]-Table510[[#This Row],[Column5]]</f>
        <v>-23</v>
      </c>
      <c r="G28" s="32">
        <f>+Table5[[#This Row],[Column6]]-Table510[[#This Row],[Column6]]</f>
        <v>13</v>
      </c>
      <c r="H28" s="32">
        <f>+Table5[[#This Row],[Column7]]-Table510[[#This Row],[Column7]]</f>
        <v>-45</v>
      </c>
      <c r="I28" s="32">
        <f>+Table5[[#This Row],[Column8]]-Table510[[#This Row],[Column8]]</f>
        <v>200</v>
      </c>
      <c r="J28" s="32">
        <f>+Table5[[#This Row],[Column9]]-Table510[[#This Row],[Column9]]</f>
        <v>200</v>
      </c>
      <c r="K28" s="32">
        <f>+Table5[[#This Row],[Column10]]-Table510[[#This Row],[Column10]]</f>
        <v>200</v>
      </c>
      <c r="L28" s="32">
        <f>+Table5[[#This Row],[Column11]]-Table510[[#This Row],[Column11]]</f>
        <v>200</v>
      </c>
      <c r="M28" s="32">
        <f>+Table5[[#This Row],[Column12]]-Table510[[#This Row],[Column12]]</f>
        <v>200</v>
      </c>
      <c r="N28" s="32">
        <f>+Table5[[#This Row],[Column13]]-Table510[[#This Row],[Column13]]</f>
        <v>200</v>
      </c>
      <c r="O28" s="33">
        <f>SUM(Table51014[[#This Row],[Column2]:[Column13]])</f>
        <v>1321</v>
      </c>
    </row>
    <row r="29" spans="2:15" ht="20.399999999999999" customHeight="1" x14ac:dyDescent="0.3">
      <c r="B29" s="1" t="s">
        <v>45</v>
      </c>
      <c r="C29" s="34">
        <f t="shared" ref="C29:N29" si="2">SUBTOTAL(109,C23:C28)</f>
        <v>555</v>
      </c>
      <c r="D29" s="34">
        <f t="shared" si="2"/>
        <v>-456</v>
      </c>
      <c r="E29" s="34">
        <f t="shared" si="2"/>
        <v>-23</v>
      </c>
      <c r="F29" s="34">
        <f t="shared" si="2"/>
        <v>-123</v>
      </c>
      <c r="G29" s="34">
        <f t="shared" si="2"/>
        <v>113</v>
      </c>
      <c r="H29" s="34">
        <f t="shared" si="2"/>
        <v>-825</v>
      </c>
      <c r="I29" s="34">
        <f t="shared" si="2"/>
        <v>8100</v>
      </c>
      <c r="J29" s="34">
        <f t="shared" si="2"/>
        <v>6100</v>
      </c>
      <c r="K29" s="34">
        <f t="shared" si="2"/>
        <v>3100</v>
      </c>
      <c r="L29" s="34">
        <f t="shared" si="2"/>
        <v>8100</v>
      </c>
      <c r="M29" s="34">
        <f t="shared" si="2"/>
        <v>3100</v>
      </c>
      <c r="N29" s="34">
        <f t="shared" si="2"/>
        <v>6900</v>
      </c>
      <c r="O29" s="34">
        <f>SUM(Table51014[[#This Row],[Column2]:[Column13]])</f>
        <v>34641</v>
      </c>
    </row>
    <row r="30" spans="2:15" ht="20.399999999999999" customHeight="1" x14ac:dyDescent="0.3">
      <c r="B30" s="27" t="s">
        <v>20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2:15" s="3" customFormat="1" ht="20.399999999999999" hidden="1" customHeight="1" x14ac:dyDescent="0.3">
      <c r="B31" s="6" t="s">
        <v>13</v>
      </c>
      <c r="C31" s="5" t="s">
        <v>12</v>
      </c>
      <c r="D31" s="5" t="s">
        <v>11</v>
      </c>
      <c r="E31" s="5" t="s">
        <v>10</v>
      </c>
      <c r="F31" s="5" t="s">
        <v>9</v>
      </c>
      <c r="G31" s="5" t="s">
        <v>8</v>
      </c>
      <c r="H31" s="5" t="s">
        <v>7</v>
      </c>
      <c r="I31" s="5" t="s">
        <v>6</v>
      </c>
      <c r="J31" s="5" t="s">
        <v>5</v>
      </c>
      <c r="K31" s="5" t="s">
        <v>4</v>
      </c>
      <c r="L31" s="5" t="s">
        <v>3</v>
      </c>
      <c r="M31" s="5" t="s">
        <v>2</v>
      </c>
      <c r="N31" s="5" t="s">
        <v>1</v>
      </c>
      <c r="O31" s="4" t="s">
        <v>0</v>
      </c>
    </row>
    <row r="32" spans="2:15" s="3" customFormat="1" ht="20.399999999999999" customHeight="1" x14ac:dyDescent="0.3">
      <c r="B32" s="2" t="s">
        <v>46</v>
      </c>
      <c r="C32" s="32">
        <f>+Table6[[#This Row],[Column2]]-Table611[[#This Row],[Column2]]</f>
        <v>400</v>
      </c>
      <c r="D32" s="32">
        <f>+Table6[[#This Row],[Column3]]-Table611[[#This Row],[Column3]]</f>
        <v>-400</v>
      </c>
      <c r="E32" s="32">
        <f>+Table6[[#This Row],[Column4]]-Table611[[#This Row],[Column4]]</f>
        <v>600</v>
      </c>
      <c r="F32" s="32">
        <f>+Table6[[#This Row],[Column5]]-Table611[[#This Row],[Column5]]</f>
        <v>400</v>
      </c>
      <c r="G32" s="32">
        <f>+Table6[[#This Row],[Column6]]-Table611[[#This Row],[Column6]]</f>
        <v>800</v>
      </c>
      <c r="H32" s="32">
        <f>+Table6[[#This Row],[Column7]]-Table611[[#This Row],[Column7]]</f>
        <v>-800</v>
      </c>
      <c r="I32" s="32">
        <f>+Table6[[#This Row],[Column8]]-Table611[[#This Row],[Column8]]</f>
        <v>2000</v>
      </c>
      <c r="J32" s="32">
        <f>+Table6[[#This Row],[Column9]]-Table611[[#This Row],[Column9]]</f>
        <v>2000</v>
      </c>
      <c r="K32" s="32">
        <f>+Table6[[#This Row],[Column10]]-Table611[[#This Row],[Column10]]</f>
        <v>2000</v>
      </c>
      <c r="L32" s="32">
        <f>+Table6[[#This Row],[Column11]]-Table611[[#This Row],[Column11]]</f>
        <v>2000</v>
      </c>
      <c r="M32" s="32">
        <f>+Table6[[#This Row],[Column12]]-Table611[[#This Row],[Column12]]</f>
        <v>2000</v>
      </c>
      <c r="N32" s="32">
        <f>+Table6[[#This Row],[Column13]]-Table611[[#This Row],[Column13]]</f>
        <v>2000</v>
      </c>
      <c r="O32" s="33">
        <f>SUM(Table61115[[#This Row],[Column2]:[Column13]])</f>
        <v>13000</v>
      </c>
    </row>
    <row r="33" spans="2:15" ht="20.399999999999999" customHeight="1" x14ac:dyDescent="0.3">
      <c r="B33" s="2" t="s">
        <v>47</v>
      </c>
      <c r="C33" s="32">
        <f>+Table6[[#This Row],[Column2]]-Table611[[#This Row],[Column2]]</f>
        <v>800</v>
      </c>
      <c r="D33" s="32">
        <f>+Table6[[#This Row],[Column3]]-Table611[[#This Row],[Column3]]</f>
        <v>-200</v>
      </c>
      <c r="E33" s="32">
        <f>+Table6[[#This Row],[Column4]]-Table611[[#This Row],[Column4]]</f>
        <v>600</v>
      </c>
      <c r="F33" s="32">
        <f>+Table6[[#This Row],[Column5]]-Table611[[#This Row],[Column5]]</f>
        <v>800</v>
      </c>
      <c r="G33" s="32">
        <f>+Table6[[#This Row],[Column6]]-Table611[[#This Row],[Column6]]</f>
        <v>1200</v>
      </c>
      <c r="H33" s="32">
        <f>+Table6[[#This Row],[Column7]]-Table611[[#This Row],[Column7]]</f>
        <v>-1500</v>
      </c>
      <c r="I33" s="32">
        <f>+Table6[[#This Row],[Column8]]-Table611[[#This Row],[Column8]]</f>
        <v>2000</v>
      </c>
      <c r="J33" s="32">
        <f>+Table6[[#This Row],[Column9]]-Table611[[#This Row],[Column9]]</f>
        <v>2000</v>
      </c>
      <c r="K33" s="32">
        <f>+Table6[[#This Row],[Column10]]-Table611[[#This Row],[Column10]]</f>
        <v>2000</v>
      </c>
      <c r="L33" s="32">
        <f>+Table6[[#This Row],[Column11]]-Table611[[#This Row],[Column11]]</f>
        <v>2000</v>
      </c>
      <c r="M33" s="32">
        <f>+Table6[[#This Row],[Column12]]-Table611[[#This Row],[Column12]]</f>
        <v>2000</v>
      </c>
      <c r="N33" s="32">
        <f>+Table6[[#This Row],[Column13]]-Table611[[#This Row],[Column13]]</f>
        <v>2000</v>
      </c>
      <c r="O33" s="33">
        <f>SUM(Table61115[[#This Row],[Column2]:[Column13]])</f>
        <v>13700</v>
      </c>
    </row>
    <row r="34" spans="2:15" ht="20.399999999999999" customHeight="1" x14ac:dyDescent="0.3">
      <c r="B34" s="1" t="s">
        <v>29</v>
      </c>
      <c r="C34" s="34">
        <f t="shared" ref="C34:O34" si="3">SUBTOTAL(109,C32:C33)</f>
        <v>1200</v>
      </c>
      <c r="D34" s="34">
        <f t="shared" si="3"/>
        <v>-600</v>
      </c>
      <c r="E34" s="34">
        <f t="shared" si="3"/>
        <v>1200</v>
      </c>
      <c r="F34" s="34">
        <f t="shared" si="3"/>
        <v>1200</v>
      </c>
      <c r="G34" s="34">
        <f t="shared" si="3"/>
        <v>2000</v>
      </c>
      <c r="H34" s="34">
        <f t="shared" si="3"/>
        <v>-2300</v>
      </c>
      <c r="I34" s="34">
        <f t="shared" si="3"/>
        <v>4000</v>
      </c>
      <c r="J34" s="34">
        <f t="shared" si="3"/>
        <v>4000</v>
      </c>
      <c r="K34" s="34">
        <f t="shared" si="3"/>
        <v>4000</v>
      </c>
      <c r="L34" s="34">
        <f t="shared" si="3"/>
        <v>4000</v>
      </c>
      <c r="M34" s="34">
        <f t="shared" si="3"/>
        <v>4000</v>
      </c>
      <c r="N34" s="34">
        <f t="shared" si="3"/>
        <v>4000</v>
      </c>
      <c r="O34" s="34">
        <f t="shared" si="3"/>
        <v>26700</v>
      </c>
    </row>
    <row r="35" spans="2:15" ht="20.399999999999999" customHeight="1" x14ac:dyDescent="0.3">
      <c r="B35" s="15" t="s">
        <v>48</v>
      </c>
      <c r="C35" s="49">
        <f t="shared" ref="C35:N35" si="4">+C34+C29+C20+C9</f>
        <v>1738</v>
      </c>
      <c r="D35" s="49">
        <f t="shared" si="4"/>
        <v>-984</v>
      </c>
      <c r="E35" s="49">
        <f t="shared" si="4"/>
        <v>1255</v>
      </c>
      <c r="F35" s="49">
        <f t="shared" si="4"/>
        <v>301</v>
      </c>
      <c r="G35" s="49">
        <f t="shared" si="4"/>
        <v>1440</v>
      </c>
      <c r="H35" s="49">
        <f t="shared" si="4"/>
        <v>-3744</v>
      </c>
      <c r="I35" s="49">
        <f t="shared" si="4"/>
        <v>134695</v>
      </c>
      <c r="J35" s="49">
        <f t="shared" si="4"/>
        <v>138918</v>
      </c>
      <c r="K35" s="49">
        <f t="shared" si="4"/>
        <v>135918</v>
      </c>
      <c r="L35" s="49">
        <f t="shared" si="4"/>
        <v>140918</v>
      </c>
      <c r="M35" s="49">
        <f t="shared" si="4"/>
        <v>136218</v>
      </c>
      <c r="N35" s="49">
        <f t="shared" si="4"/>
        <v>140018</v>
      </c>
      <c r="O35" s="49">
        <f>SUM(C35:N35)</f>
        <v>826691</v>
      </c>
    </row>
    <row r="36" spans="2:15" ht="20.399999999999999" customHeight="1" x14ac:dyDescent="0.3">
      <c r="B36" s="15" t="s">
        <v>49</v>
      </c>
      <c r="C36" s="49">
        <f>+C35</f>
        <v>1738</v>
      </c>
      <c r="D36" s="49">
        <f>+D35+C35</f>
        <v>754</v>
      </c>
      <c r="E36" s="49">
        <f t="shared" ref="E36:M36" si="5">+E35+D36</f>
        <v>2009</v>
      </c>
      <c r="F36" s="49">
        <f t="shared" si="5"/>
        <v>2310</v>
      </c>
      <c r="G36" s="49">
        <f t="shared" si="5"/>
        <v>3750</v>
      </c>
      <c r="H36" s="49">
        <f t="shared" si="5"/>
        <v>6</v>
      </c>
      <c r="I36" s="49">
        <f t="shared" si="5"/>
        <v>134701</v>
      </c>
      <c r="J36" s="49">
        <f t="shared" si="5"/>
        <v>273619</v>
      </c>
      <c r="K36" s="49">
        <f t="shared" si="5"/>
        <v>409537</v>
      </c>
      <c r="L36" s="49">
        <f t="shared" si="5"/>
        <v>550455</v>
      </c>
      <c r="M36" s="49">
        <f t="shared" si="5"/>
        <v>686673</v>
      </c>
      <c r="N36" s="49">
        <v>1609630</v>
      </c>
      <c r="O36" s="49">
        <f>+N36+O35</f>
        <v>2436321</v>
      </c>
    </row>
  </sheetData>
  <mergeCells count="2">
    <mergeCell ref="B2:O3"/>
    <mergeCell ref="B30:O30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PAINEL DE INSTRUMENTOS</vt:lpstr>
      <vt:lpstr>Custos Totais de Escritório</vt:lpstr>
      <vt:lpstr>DESPESAS REAIS</vt:lpstr>
      <vt:lpstr>DIFERENÇAS NAS DESPESAS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2026-01-12T05:31:40Z</dcterms:modified>
</cp:coreProperties>
</file>